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386" windowWidth="25560" windowHeight="12285" activeTab="0"/>
  </bookViews>
  <sheets>
    <sheet name="Model" sheetId="1" r:id="rId1"/>
    <sheet name="Calculations" sheetId="2" r:id="rId2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<sst xmlns="http://schemas.openxmlformats.org/spreadsheetml/2006/main" count="107" uniqueCount="90">
  <si>
    <t>rho</t>
  </si>
  <si>
    <t>g</t>
  </si>
  <si>
    <t>A</t>
  </si>
  <si>
    <t>dx</t>
  </si>
  <si>
    <t>dt</t>
  </si>
  <si>
    <t>h_old</t>
  </si>
  <si>
    <t>bedrock</t>
  </si>
  <si>
    <t>slope</t>
  </si>
  <si>
    <t>diffus</t>
  </si>
  <si>
    <t>alfa</t>
  </si>
  <si>
    <t>dtdx2</t>
  </si>
  <si>
    <t>beta</t>
  </si>
  <si>
    <t>gamma</t>
  </si>
  <si>
    <t>delta</t>
  </si>
  <si>
    <t>w</t>
  </si>
  <si>
    <t>h_new</t>
  </si>
  <si>
    <t>run</t>
  </si>
  <si>
    <t>Massb</t>
  </si>
  <si>
    <t>h_ok</t>
  </si>
  <si>
    <t>u_mean</t>
  </si>
  <si>
    <t>x (km)</t>
  </si>
  <si>
    <t>alfa'</t>
  </si>
  <si>
    <t>beta'</t>
  </si>
  <si>
    <t>gamma'</t>
  </si>
  <si>
    <t>implicit</t>
  </si>
  <si>
    <t>surface</t>
  </si>
  <si>
    <t>Tma</t>
  </si>
  <si>
    <t>Tfor</t>
  </si>
  <si>
    <t>Tms</t>
  </si>
  <si>
    <t>ablation</t>
  </si>
  <si>
    <t>VOLUME</t>
  </si>
  <si>
    <t>RUN</t>
  </si>
  <si>
    <t>TFOR</t>
  </si>
  <si>
    <t>accum</t>
  </si>
  <si>
    <t>modeltype</t>
  </si>
  <si>
    <t>T_kopp</t>
  </si>
  <si>
    <t>mtune</t>
  </si>
  <si>
    <t>aconst</t>
  </si>
  <si>
    <t>Tstar</t>
  </si>
  <si>
    <t>Akopp</t>
  </si>
  <si>
    <t>TKOPP</t>
  </si>
  <si>
    <t>h0</t>
  </si>
  <si>
    <t>newbed</t>
  </si>
  <si>
    <t>bed_run</t>
  </si>
  <si>
    <t>bed_relax</t>
  </si>
  <si>
    <t>BEDADJ</t>
  </si>
  <si>
    <t>%</t>
  </si>
  <si>
    <t>sea_level</t>
  </si>
  <si>
    <t>SEALEV</t>
  </si>
  <si>
    <t>sea_run</t>
  </si>
  <si>
    <t>sl_est2</t>
  </si>
  <si>
    <t>sl_est1</t>
  </si>
  <si>
    <t>basalslid</t>
  </si>
  <si>
    <t>bslid</t>
  </si>
  <si>
    <t>bconst</t>
  </si>
  <si>
    <t>BASALSL</t>
  </si>
  <si>
    <t>u_slid</t>
  </si>
  <si>
    <t>Volume_ini</t>
  </si>
  <si>
    <t>x-scaled</t>
  </si>
  <si>
    <t>length</t>
  </si>
  <si>
    <t>DATASET</t>
  </si>
  <si>
    <t>Tfor acc.</t>
  </si>
  <si>
    <t>Dtime</t>
  </si>
  <si>
    <t>time</t>
  </si>
  <si>
    <t>time0</t>
  </si>
  <si>
    <t>rho_bed</t>
  </si>
  <si>
    <t>INPUT ANTARCTICA</t>
  </si>
  <si>
    <t>INPUT GREENLAND</t>
  </si>
  <si>
    <t>Bedrock</t>
  </si>
  <si>
    <t>Surface</t>
  </si>
  <si>
    <t>Latitude</t>
  </si>
  <si>
    <t>Longitude</t>
  </si>
  <si>
    <t>x (m)</t>
  </si>
  <si>
    <t>INPUT MODEL GEOMETRY</t>
  </si>
  <si>
    <t>H init</t>
  </si>
  <si>
    <t>ICE THICKNESS CALCULATION</t>
  </si>
  <si>
    <t>VELOCITIES</t>
  </si>
  <si>
    <t>TEMPERATURE &amp; MASS BALANCE</t>
  </si>
  <si>
    <t>ISOSTACY</t>
  </si>
  <si>
    <t>Length</t>
  </si>
  <si>
    <t>Sea level</t>
  </si>
  <si>
    <t>Time (yr)</t>
  </si>
  <si>
    <t>PC: Push F9 to run model in time</t>
  </si>
  <si>
    <t>Mac: Command + = to run model in time</t>
  </si>
  <si>
    <t>Frank Pattyn, Laboratoire de Glaciologie (DSTE), Universite Libre de Bruxelles</t>
  </si>
  <si>
    <t>INPUT SVALBARD 79N</t>
  </si>
  <si>
    <t>INPUT SVALBARD 76N</t>
  </si>
  <si>
    <t>INPUT SVALBARD 19E</t>
  </si>
  <si>
    <t>dELA</t>
  </si>
  <si>
    <t>Ice sheet model: Antarctica, Greenland &amp; Svalbard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</si>
</sst>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/mm/yyyy"/>
    <numFmt numFmtId="189" formatCode="00000"/>
    <numFmt numFmtId="190" formatCode="0.0E+00"/>
    <numFmt numFmtId="191" formatCode="0.000E+00"/>
    <numFmt numFmtId="192" formatCode="0.000000"/>
    <numFmt numFmtId="193" formatCode="0.0000"/>
    <numFmt numFmtId="194" formatCode="0.00000"/>
    <numFmt numFmtId="195" formatCode="[$-41D]&quot;den &quot;d\ mmmm\ yyyy"/>
    <numFmt numFmtId="196" formatCode="000\ 0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49"/>
      <name val="Arial"/>
      <family val="2"/>
    </font>
    <font>
      <b/>
      <sz val="16"/>
      <color indexed="10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75"/>
      <color indexed="8"/>
      <name val="Arial"/>
      <family val="0"/>
    </font>
    <font>
      <sz val="7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1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1" xfId="0" applyFill="1" applyBorder="1" applyAlignment="1">
      <alignment/>
    </xf>
    <xf numFmtId="2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2" xfId="0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191" fontId="0" fillId="34" borderId="13" xfId="0" applyNumberFormat="1" applyFill="1" applyBorder="1" applyAlignment="1">
      <alignment/>
    </xf>
    <xf numFmtId="0" fontId="0" fillId="34" borderId="15" xfId="0" applyFill="1" applyBorder="1" applyAlignment="1">
      <alignment/>
    </xf>
    <xf numFmtId="2" fontId="0" fillId="34" borderId="14" xfId="0" applyNumberForma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35" borderId="11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9" fillId="35" borderId="11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11" fontId="0" fillId="0" borderId="0" xfId="0" applyNumberFormat="1" applyFill="1" applyAlignment="1">
      <alignment/>
    </xf>
    <xf numFmtId="0" fontId="1" fillId="34" borderId="11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0" fillId="34" borderId="14" xfId="0" applyFill="1" applyBorder="1" applyAlignment="1">
      <alignment/>
    </xf>
    <xf numFmtId="11" fontId="0" fillId="34" borderId="14" xfId="0" applyNumberFormat="1" applyFill="1" applyBorder="1" applyAlignment="1">
      <alignment/>
    </xf>
    <xf numFmtId="0" fontId="1" fillId="34" borderId="10" xfId="0" applyFont="1" applyFill="1" applyBorder="1" applyAlignment="1">
      <alignment/>
    </xf>
    <xf numFmtId="11" fontId="0" fillId="34" borderId="12" xfId="0" applyNumberFormat="1" applyFill="1" applyBorder="1" applyAlignment="1">
      <alignment/>
    </xf>
    <xf numFmtId="0" fontId="1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Alignment="1">
      <alignment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1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34" borderId="23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12" xfId="0" applyFill="1" applyBorder="1" applyAlignment="1">
      <alignment/>
    </xf>
    <xf numFmtId="0" fontId="0" fillId="36" borderId="21" xfId="0" applyFill="1" applyBorder="1" applyAlignment="1">
      <alignment/>
    </xf>
    <xf numFmtId="0" fontId="0" fillId="0" borderId="0" xfId="0" applyBorder="1" applyAlignment="1">
      <alignment horizontal="center"/>
    </xf>
    <xf numFmtId="193" fontId="0" fillId="0" borderId="15" xfId="0" applyNumberFormat="1" applyBorder="1" applyAlignment="1">
      <alignment/>
    </xf>
    <xf numFmtId="193" fontId="0" fillId="0" borderId="10" xfId="0" applyNumberFormat="1" applyBorder="1" applyAlignment="1">
      <alignment/>
    </xf>
    <xf numFmtId="193" fontId="0" fillId="0" borderId="0" xfId="0" applyNumberFormat="1" applyAlignment="1">
      <alignment/>
    </xf>
    <xf numFmtId="193" fontId="0" fillId="0" borderId="18" xfId="0" applyNumberForma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3875"/>
          <c:w val="0.97275"/>
          <c:h val="0.9225"/>
        </c:manualLayout>
      </c:layout>
      <c:scatterChart>
        <c:scatterStyle val="lineMarker"/>
        <c:varyColors val="0"/>
        <c:ser>
          <c:idx val="1"/>
          <c:order val="0"/>
          <c:tx>
            <c:v>Model ice sheet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Calculations!$B$12:$B$56</c:f>
              <c:numCache>
                <c:ptCount val="45"/>
                <c:pt idx="0">
                  <c:v>0</c:v>
                </c:pt>
                <c:pt idx="1">
                  <c:v>0.022727272727272728</c:v>
                </c:pt>
                <c:pt idx="2">
                  <c:v>0.045454545454545456</c:v>
                </c:pt>
                <c:pt idx="3">
                  <c:v>0.06818181818181818</c:v>
                </c:pt>
                <c:pt idx="4">
                  <c:v>0.09090909090909091</c:v>
                </c:pt>
                <c:pt idx="5">
                  <c:v>0.11363636363636365</c:v>
                </c:pt>
                <c:pt idx="6">
                  <c:v>0.13636363636363638</c:v>
                </c:pt>
                <c:pt idx="7">
                  <c:v>0.15909090909090912</c:v>
                </c:pt>
                <c:pt idx="8">
                  <c:v>0.18181818181818185</c:v>
                </c:pt>
                <c:pt idx="9">
                  <c:v>0.20454545454545459</c:v>
                </c:pt>
                <c:pt idx="10">
                  <c:v>0.22727272727272732</c:v>
                </c:pt>
                <c:pt idx="11">
                  <c:v>0.25000000000000006</c:v>
                </c:pt>
                <c:pt idx="12">
                  <c:v>0.27272727272727276</c:v>
                </c:pt>
                <c:pt idx="13">
                  <c:v>0.29545454545454547</c:v>
                </c:pt>
                <c:pt idx="14">
                  <c:v>0.3181818181818182</c:v>
                </c:pt>
                <c:pt idx="15">
                  <c:v>0.3409090909090909</c:v>
                </c:pt>
                <c:pt idx="16">
                  <c:v>0.3636363636363636</c:v>
                </c:pt>
                <c:pt idx="17">
                  <c:v>0.3863636363636363</c:v>
                </c:pt>
                <c:pt idx="18">
                  <c:v>0.409090909090909</c:v>
                </c:pt>
                <c:pt idx="19">
                  <c:v>0.4318181818181817</c:v>
                </c:pt>
                <c:pt idx="20">
                  <c:v>0.4545454545454544</c:v>
                </c:pt>
                <c:pt idx="21">
                  <c:v>0.4772727272727271</c:v>
                </c:pt>
                <c:pt idx="22">
                  <c:v>0.49999999999999983</c:v>
                </c:pt>
                <c:pt idx="23">
                  <c:v>0.5227272727272726</c:v>
                </c:pt>
                <c:pt idx="24">
                  <c:v>0.5454545454545453</c:v>
                </c:pt>
                <c:pt idx="25">
                  <c:v>0.568181818181818</c:v>
                </c:pt>
                <c:pt idx="26">
                  <c:v>0.5909090909090907</c:v>
                </c:pt>
                <c:pt idx="27">
                  <c:v>0.6136363636363634</c:v>
                </c:pt>
                <c:pt idx="28">
                  <c:v>0.6363636363636361</c:v>
                </c:pt>
                <c:pt idx="29">
                  <c:v>0.6590909090909088</c:v>
                </c:pt>
                <c:pt idx="30">
                  <c:v>0.6818181818181815</c:v>
                </c:pt>
                <c:pt idx="31">
                  <c:v>0.7045454545454543</c:v>
                </c:pt>
                <c:pt idx="32">
                  <c:v>0.727272727272727</c:v>
                </c:pt>
                <c:pt idx="33">
                  <c:v>0.7499999999999997</c:v>
                </c:pt>
                <c:pt idx="34">
                  <c:v>0.7727272727272724</c:v>
                </c:pt>
                <c:pt idx="35">
                  <c:v>0.7954545454545451</c:v>
                </c:pt>
                <c:pt idx="36">
                  <c:v>0.8181818181818178</c:v>
                </c:pt>
                <c:pt idx="37">
                  <c:v>0.8409090909090905</c:v>
                </c:pt>
                <c:pt idx="38">
                  <c:v>0.8636363636363632</c:v>
                </c:pt>
                <c:pt idx="39">
                  <c:v>0.8863636363636359</c:v>
                </c:pt>
                <c:pt idx="40">
                  <c:v>0.9090909090909086</c:v>
                </c:pt>
                <c:pt idx="41">
                  <c:v>0.9318181818181813</c:v>
                </c:pt>
                <c:pt idx="42">
                  <c:v>0.954545454545454</c:v>
                </c:pt>
                <c:pt idx="43">
                  <c:v>0.9772727272727267</c:v>
                </c:pt>
                <c:pt idx="44">
                  <c:v>0.9999999999999994</c:v>
                </c:pt>
              </c:numCache>
            </c:numRef>
          </c:xVal>
          <c:yVal>
            <c:numRef>
              <c:f>Calculations!$AD$12:$AD$56</c:f>
              <c:numCache>
                <c:ptCount val="45"/>
                <c:pt idx="0">
                  <c:v>-223.13610543877135</c:v>
                </c:pt>
                <c:pt idx="1">
                  <c:v>146.94209909062212</c:v>
                </c:pt>
                <c:pt idx="2">
                  <c:v>342.83209910023334</c:v>
                </c:pt>
                <c:pt idx="3">
                  <c:v>779.6480636901706</c:v>
                </c:pt>
                <c:pt idx="4">
                  <c:v>789.2878225974848</c:v>
                </c:pt>
                <c:pt idx="5">
                  <c:v>1087.214078151688</c:v>
                </c:pt>
                <c:pt idx="6">
                  <c:v>541.2551257365363</c:v>
                </c:pt>
                <c:pt idx="7">
                  <c:v>429.7597695252394</c:v>
                </c:pt>
                <c:pt idx="8">
                  <c:v>379.1933514348939</c:v>
                </c:pt>
                <c:pt idx="9">
                  <c:v>339.09548388530305</c:v>
                </c:pt>
                <c:pt idx="10">
                  <c:v>295.688366220606</c:v>
                </c:pt>
                <c:pt idx="11">
                  <c:v>332.5883613292908</c:v>
                </c:pt>
                <c:pt idx="12">
                  <c:v>333.2646470897849</c:v>
                </c:pt>
                <c:pt idx="13">
                  <c:v>276.82973300301825</c:v>
                </c:pt>
                <c:pt idx="14">
                  <c:v>234.02015357626055</c:v>
                </c:pt>
                <c:pt idx="15">
                  <c:v>239.54713680435157</c:v>
                </c:pt>
                <c:pt idx="16">
                  <c:v>244.52189719286662</c:v>
                </c:pt>
                <c:pt idx="17">
                  <c:v>254.85105248813937</c:v>
                </c:pt>
                <c:pt idx="18">
                  <c:v>250.746936178294</c:v>
                </c:pt>
                <c:pt idx="19">
                  <c:v>137.02115646423033</c:v>
                </c:pt>
                <c:pt idx="20">
                  <c:v>253.09280002089997</c:v>
                </c:pt>
                <c:pt idx="21">
                  <c:v>299.43298166318186</c:v>
                </c:pt>
                <c:pt idx="22">
                  <c:v>240.45480876701816</c:v>
                </c:pt>
                <c:pt idx="23">
                  <c:v>189.88861436781207</c:v>
                </c:pt>
                <c:pt idx="24">
                  <c:v>217.00272528995453</c:v>
                </c:pt>
                <c:pt idx="25">
                  <c:v>273.3328545217454</c:v>
                </c:pt>
                <c:pt idx="26">
                  <c:v>286.7582025681394</c:v>
                </c:pt>
                <c:pt idx="27">
                  <c:v>275.6287541741758</c:v>
                </c:pt>
                <c:pt idx="28">
                  <c:v>246.0875023836636</c:v>
                </c:pt>
                <c:pt idx="29">
                  <c:v>215.43171700517576</c:v>
                </c:pt>
                <c:pt idx="30">
                  <c:v>191.42986479748186</c:v>
                </c:pt>
                <c:pt idx="31">
                  <c:v>141.60471606084548</c:v>
                </c:pt>
                <c:pt idx="32">
                  <c:v>28.511942580775735</c:v>
                </c:pt>
                <c:pt idx="33">
                  <c:v>-9.741435638354565</c:v>
                </c:pt>
                <c:pt idx="34">
                  <c:v>-37.12667232849093</c:v>
                </c:pt>
                <c:pt idx="35">
                  <c:v>-44.59075831408483</c:v>
                </c:pt>
                <c:pt idx="36">
                  <c:v>3.967112946827351</c:v>
                </c:pt>
                <c:pt idx="37">
                  <c:v>117.03028923024546</c:v>
                </c:pt>
                <c:pt idx="38">
                  <c:v>235.9434401680455</c:v>
                </c:pt>
                <c:pt idx="39">
                  <c:v>292.02421534516077</c:v>
                </c:pt>
                <c:pt idx="40">
                  <c:v>346.0591470268122</c:v>
                </c:pt>
                <c:pt idx="41">
                  <c:v>294.46256763789694</c:v>
                </c:pt>
                <c:pt idx="42">
                  <c:v>182.91678134757097</c:v>
                </c:pt>
                <c:pt idx="43">
                  <c:v>189.71363338030332</c:v>
                </c:pt>
                <c:pt idx="44">
                  <c:v>-54.51322526408203</c:v>
                </c:pt>
              </c:numCache>
            </c:numRef>
          </c:yVal>
          <c:smooth val="0"/>
        </c:ser>
        <c:ser>
          <c:idx val="2"/>
          <c:order val="1"/>
          <c:tx>
            <c:v>Observations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Calculations!$B$12:$B$56</c:f>
              <c:numCache>
                <c:ptCount val="45"/>
                <c:pt idx="0">
                  <c:v>0</c:v>
                </c:pt>
                <c:pt idx="1">
                  <c:v>0.022727272727272728</c:v>
                </c:pt>
                <c:pt idx="2">
                  <c:v>0.045454545454545456</c:v>
                </c:pt>
                <c:pt idx="3">
                  <c:v>0.06818181818181818</c:v>
                </c:pt>
                <c:pt idx="4">
                  <c:v>0.09090909090909091</c:v>
                </c:pt>
                <c:pt idx="5">
                  <c:v>0.11363636363636365</c:v>
                </c:pt>
                <c:pt idx="6">
                  <c:v>0.13636363636363638</c:v>
                </c:pt>
                <c:pt idx="7">
                  <c:v>0.15909090909090912</c:v>
                </c:pt>
                <c:pt idx="8">
                  <c:v>0.18181818181818185</c:v>
                </c:pt>
                <c:pt idx="9">
                  <c:v>0.20454545454545459</c:v>
                </c:pt>
                <c:pt idx="10">
                  <c:v>0.22727272727272732</c:v>
                </c:pt>
                <c:pt idx="11">
                  <c:v>0.25000000000000006</c:v>
                </c:pt>
                <c:pt idx="12">
                  <c:v>0.27272727272727276</c:v>
                </c:pt>
                <c:pt idx="13">
                  <c:v>0.29545454545454547</c:v>
                </c:pt>
                <c:pt idx="14">
                  <c:v>0.3181818181818182</c:v>
                </c:pt>
                <c:pt idx="15">
                  <c:v>0.3409090909090909</c:v>
                </c:pt>
                <c:pt idx="16">
                  <c:v>0.3636363636363636</c:v>
                </c:pt>
                <c:pt idx="17">
                  <c:v>0.3863636363636363</c:v>
                </c:pt>
                <c:pt idx="18">
                  <c:v>0.409090909090909</c:v>
                </c:pt>
                <c:pt idx="19">
                  <c:v>0.4318181818181817</c:v>
                </c:pt>
                <c:pt idx="20">
                  <c:v>0.4545454545454544</c:v>
                </c:pt>
                <c:pt idx="21">
                  <c:v>0.4772727272727271</c:v>
                </c:pt>
                <c:pt idx="22">
                  <c:v>0.49999999999999983</c:v>
                </c:pt>
                <c:pt idx="23">
                  <c:v>0.5227272727272726</c:v>
                </c:pt>
                <c:pt idx="24">
                  <c:v>0.5454545454545453</c:v>
                </c:pt>
                <c:pt idx="25">
                  <c:v>0.568181818181818</c:v>
                </c:pt>
                <c:pt idx="26">
                  <c:v>0.5909090909090907</c:v>
                </c:pt>
                <c:pt idx="27">
                  <c:v>0.6136363636363634</c:v>
                </c:pt>
                <c:pt idx="28">
                  <c:v>0.6363636363636361</c:v>
                </c:pt>
                <c:pt idx="29">
                  <c:v>0.6590909090909088</c:v>
                </c:pt>
                <c:pt idx="30">
                  <c:v>0.6818181818181815</c:v>
                </c:pt>
                <c:pt idx="31">
                  <c:v>0.7045454545454543</c:v>
                </c:pt>
                <c:pt idx="32">
                  <c:v>0.727272727272727</c:v>
                </c:pt>
                <c:pt idx="33">
                  <c:v>0.7499999999999997</c:v>
                </c:pt>
                <c:pt idx="34">
                  <c:v>0.7727272727272724</c:v>
                </c:pt>
                <c:pt idx="35">
                  <c:v>0.7954545454545451</c:v>
                </c:pt>
                <c:pt idx="36">
                  <c:v>0.8181818181818178</c:v>
                </c:pt>
                <c:pt idx="37">
                  <c:v>0.8409090909090905</c:v>
                </c:pt>
                <c:pt idx="38">
                  <c:v>0.8636363636363632</c:v>
                </c:pt>
                <c:pt idx="39">
                  <c:v>0.8863636363636359</c:v>
                </c:pt>
                <c:pt idx="40">
                  <c:v>0.9090909090909086</c:v>
                </c:pt>
                <c:pt idx="41">
                  <c:v>0.9318181818181813</c:v>
                </c:pt>
                <c:pt idx="42">
                  <c:v>0.954545454545454</c:v>
                </c:pt>
                <c:pt idx="43">
                  <c:v>0.9772727272727267</c:v>
                </c:pt>
                <c:pt idx="44">
                  <c:v>0.9999999999999994</c:v>
                </c:pt>
              </c:numCache>
            </c:numRef>
          </c:xVal>
          <c:yVal>
            <c:numRef>
              <c:f>Calculations!$Y$12:$Y$56</c:f>
              <c:numCache>
                <c:ptCount val="45"/>
                <c:pt idx="0">
                  <c:v>4.49215527344</c:v>
                </c:pt>
                <c:pt idx="1">
                  <c:v>611.674483398</c:v>
                </c:pt>
                <c:pt idx="2">
                  <c:v>936.940814941</c:v>
                </c:pt>
                <c:pt idx="3">
                  <c:v>1478.26775391</c:v>
                </c:pt>
                <c:pt idx="4">
                  <c:v>1709.74304199</c:v>
                </c:pt>
                <c:pt idx="5">
                  <c:v>1833.58395313</c:v>
                </c:pt>
                <c:pt idx="6">
                  <c:v>1569.76037598</c:v>
                </c:pt>
                <c:pt idx="7">
                  <c:v>1670.37082031</c:v>
                </c:pt>
                <c:pt idx="8">
                  <c:v>1763.08794629</c:v>
                </c:pt>
                <c:pt idx="9">
                  <c:v>1883.57164648</c:v>
                </c:pt>
                <c:pt idx="10">
                  <c:v>1756.46594141</c:v>
                </c:pt>
                <c:pt idx="11">
                  <c:v>1699.18896484</c:v>
                </c:pt>
                <c:pt idx="12">
                  <c:v>1701.56604492</c:v>
                </c:pt>
                <c:pt idx="13">
                  <c:v>1762.31878125</c:v>
                </c:pt>
                <c:pt idx="14">
                  <c:v>1861.70644922</c:v>
                </c:pt>
                <c:pt idx="15">
                  <c:v>1952.8743877</c:v>
                </c:pt>
                <c:pt idx="16">
                  <c:v>1882.35473633</c:v>
                </c:pt>
                <c:pt idx="17">
                  <c:v>1835.54869238</c:v>
                </c:pt>
                <c:pt idx="18">
                  <c:v>1817.86108398</c:v>
                </c:pt>
                <c:pt idx="19">
                  <c:v>1807.69653518</c:v>
                </c:pt>
                <c:pt idx="20">
                  <c:v>1822.72505078</c:v>
                </c:pt>
                <c:pt idx="21">
                  <c:v>1851.21132422</c:v>
                </c:pt>
                <c:pt idx="22">
                  <c:v>1899.23433496</c:v>
                </c:pt>
                <c:pt idx="23">
                  <c:v>1942.30668555</c:v>
                </c:pt>
                <c:pt idx="24">
                  <c:v>1949.4564707</c:v>
                </c:pt>
                <c:pt idx="25">
                  <c:v>1939.01989746</c:v>
                </c:pt>
                <c:pt idx="26">
                  <c:v>1888.65858496</c:v>
                </c:pt>
                <c:pt idx="27">
                  <c:v>1776.87185547</c:v>
                </c:pt>
                <c:pt idx="28">
                  <c:v>1654.46697656</c:v>
                </c:pt>
                <c:pt idx="29">
                  <c:v>1533.18303906</c:v>
                </c:pt>
                <c:pt idx="30">
                  <c:v>1395.35961914</c:v>
                </c:pt>
                <c:pt idx="31">
                  <c:v>1264.18335449</c:v>
                </c:pt>
                <c:pt idx="32">
                  <c:v>1134.25842285</c:v>
                </c:pt>
                <c:pt idx="33">
                  <c:v>1095.0674873</c:v>
                </c:pt>
                <c:pt idx="34">
                  <c:v>1081.71429492</c:v>
                </c:pt>
                <c:pt idx="35">
                  <c:v>1107.17199707</c:v>
                </c:pt>
                <c:pt idx="36">
                  <c:v>1139.43136621</c:v>
                </c:pt>
                <c:pt idx="37">
                  <c:v>1195.49694824</c:v>
                </c:pt>
                <c:pt idx="38">
                  <c:v>1265.65478516</c:v>
                </c:pt>
                <c:pt idx="39">
                  <c:v>1274.85327148</c:v>
                </c:pt>
                <c:pt idx="40">
                  <c:v>1217.37623437</c:v>
                </c:pt>
                <c:pt idx="41">
                  <c:v>1017.94955078</c:v>
                </c:pt>
                <c:pt idx="42">
                  <c:v>775.700638184</c:v>
                </c:pt>
                <c:pt idx="43">
                  <c:v>634.333839355</c:v>
                </c:pt>
                <c:pt idx="44">
                  <c:v>4.38189315796</c:v>
                </c:pt>
              </c:numCache>
            </c:numRef>
          </c:yVal>
          <c:smooth val="0"/>
        </c:ser>
        <c:ser>
          <c:idx val="0"/>
          <c:order val="2"/>
          <c:tx>
            <c:v>Bed (obs)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Calculations!$B$12:$B$56</c:f>
              <c:numCache>
                <c:ptCount val="45"/>
                <c:pt idx="0">
                  <c:v>0</c:v>
                </c:pt>
                <c:pt idx="1">
                  <c:v>0.022727272727272728</c:v>
                </c:pt>
                <c:pt idx="2">
                  <c:v>0.045454545454545456</c:v>
                </c:pt>
                <c:pt idx="3">
                  <c:v>0.06818181818181818</c:v>
                </c:pt>
                <c:pt idx="4">
                  <c:v>0.09090909090909091</c:v>
                </c:pt>
                <c:pt idx="5">
                  <c:v>0.11363636363636365</c:v>
                </c:pt>
                <c:pt idx="6">
                  <c:v>0.13636363636363638</c:v>
                </c:pt>
                <c:pt idx="7">
                  <c:v>0.15909090909090912</c:v>
                </c:pt>
                <c:pt idx="8">
                  <c:v>0.18181818181818185</c:v>
                </c:pt>
                <c:pt idx="9">
                  <c:v>0.20454545454545459</c:v>
                </c:pt>
                <c:pt idx="10">
                  <c:v>0.22727272727272732</c:v>
                </c:pt>
                <c:pt idx="11">
                  <c:v>0.25000000000000006</c:v>
                </c:pt>
                <c:pt idx="12">
                  <c:v>0.27272727272727276</c:v>
                </c:pt>
                <c:pt idx="13">
                  <c:v>0.29545454545454547</c:v>
                </c:pt>
                <c:pt idx="14">
                  <c:v>0.3181818181818182</c:v>
                </c:pt>
                <c:pt idx="15">
                  <c:v>0.3409090909090909</c:v>
                </c:pt>
                <c:pt idx="16">
                  <c:v>0.3636363636363636</c:v>
                </c:pt>
                <c:pt idx="17">
                  <c:v>0.3863636363636363</c:v>
                </c:pt>
                <c:pt idx="18">
                  <c:v>0.409090909090909</c:v>
                </c:pt>
                <c:pt idx="19">
                  <c:v>0.4318181818181817</c:v>
                </c:pt>
                <c:pt idx="20">
                  <c:v>0.4545454545454544</c:v>
                </c:pt>
                <c:pt idx="21">
                  <c:v>0.4772727272727271</c:v>
                </c:pt>
                <c:pt idx="22">
                  <c:v>0.49999999999999983</c:v>
                </c:pt>
                <c:pt idx="23">
                  <c:v>0.5227272727272726</c:v>
                </c:pt>
                <c:pt idx="24">
                  <c:v>0.5454545454545453</c:v>
                </c:pt>
                <c:pt idx="25">
                  <c:v>0.568181818181818</c:v>
                </c:pt>
                <c:pt idx="26">
                  <c:v>0.5909090909090907</c:v>
                </c:pt>
                <c:pt idx="27">
                  <c:v>0.6136363636363634</c:v>
                </c:pt>
                <c:pt idx="28">
                  <c:v>0.6363636363636361</c:v>
                </c:pt>
                <c:pt idx="29">
                  <c:v>0.6590909090909088</c:v>
                </c:pt>
                <c:pt idx="30">
                  <c:v>0.6818181818181815</c:v>
                </c:pt>
                <c:pt idx="31">
                  <c:v>0.7045454545454543</c:v>
                </c:pt>
                <c:pt idx="32">
                  <c:v>0.727272727272727</c:v>
                </c:pt>
                <c:pt idx="33">
                  <c:v>0.7499999999999997</c:v>
                </c:pt>
                <c:pt idx="34">
                  <c:v>0.7727272727272724</c:v>
                </c:pt>
                <c:pt idx="35">
                  <c:v>0.7954545454545451</c:v>
                </c:pt>
                <c:pt idx="36">
                  <c:v>0.8181818181818178</c:v>
                </c:pt>
                <c:pt idx="37">
                  <c:v>0.8409090909090905</c:v>
                </c:pt>
                <c:pt idx="38">
                  <c:v>0.8636363636363632</c:v>
                </c:pt>
                <c:pt idx="39">
                  <c:v>0.8863636363636359</c:v>
                </c:pt>
                <c:pt idx="40">
                  <c:v>0.9090909090909086</c:v>
                </c:pt>
                <c:pt idx="41">
                  <c:v>0.9318181818181813</c:v>
                </c:pt>
                <c:pt idx="42">
                  <c:v>0.954545454545454</c:v>
                </c:pt>
                <c:pt idx="43">
                  <c:v>0.9772727272727267</c:v>
                </c:pt>
                <c:pt idx="44">
                  <c:v>0.9999999999999994</c:v>
                </c:pt>
              </c:numCache>
            </c:numRef>
          </c:xVal>
          <c:yVal>
            <c:numRef>
              <c:f>Calculations!$Z$12:$Z$56</c:f>
              <c:numCache>
                <c:ptCount val="45"/>
                <c:pt idx="0">
                  <c:v>-310.72952343</c:v>
                </c:pt>
                <c:pt idx="1">
                  <c:v>-31.904982911</c:v>
                </c:pt>
                <c:pt idx="2">
                  <c:v>114.199832031</c:v>
                </c:pt>
                <c:pt idx="3">
                  <c:v>510.799026371</c:v>
                </c:pt>
                <c:pt idx="4">
                  <c:v>435.07446289</c:v>
                </c:pt>
                <c:pt idx="5">
                  <c:v>799.99033692</c:v>
                </c:pt>
                <c:pt idx="6">
                  <c:v>145.46313477</c:v>
                </c:pt>
                <c:pt idx="7">
                  <c:v>-47.65245606</c:v>
                </c:pt>
                <c:pt idx="8">
                  <c:v>-153.35568066</c:v>
                </c:pt>
                <c:pt idx="9">
                  <c:v>-255.24679102</c:v>
                </c:pt>
                <c:pt idx="10">
                  <c:v>-266.44593359</c:v>
                </c:pt>
                <c:pt idx="11">
                  <c:v>-193.30578614</c:v>
                </c:pt>
                <c:pt idx="12">
                  <c:v>-193.28398145</c:v>
                </c:pt>
                <c:pt idx="13">
                  <c:v>-294.81376563</c:v>
                </c:pt>
                <c:pt idx="14">
                  <c:v>-392.34213476</c:v>
                </c:pt>
                <c:pt idx="15">
                  <c:v>-419.77056738</c:v>
                </c:pt>
                <c:pt idx="16">
                  <c:v>-385.74487305</c:v>
                </c:pt>
                <c:pt idx="17">
                  <c:v>-353.4295752</c:v>
                </c:pt>
                <c:pt idx="18">
                  <c:v>-352.30664063</c:v>
                </c:pt>
                <c:pt idx="19">
                  <c:v>-505.8837207</c:v>
                </c:pt>
                <c:pt idx="20">
                  <c:v>-350.92976563</c:v>
                </c:pt>
                <c:pt idx="21">
                  <c:v>-297.71923828</c:v>
                </c:pt>
                <c:pt idx="22">
                  <c:v>-397.87243652</c:v>
                </c:pt>
                <c:pt idx="23">
                  <c:v>-484.47159179</c:v>
                </c:pt>
                <c:pt idx="24">
                  <c:v>-449.67502735</c:v>
                </c:pt>
                <c:pt idx="25">
                  <c:v>-367.65246582</c:v>
                </c:pt>
                <c:pt idx="26">
                  <c:v>-329.68143262</c:v>
                </c:pt>
                <c:pt idx="27">
                  <c:v>-302.07704687</c:v>
                </c:pt>
                <c:pt idx="28">
                  <c:v>-295.88353321</c:v>
                </c:pt>
                <c:pt idx="29">
                  <c:v>-291.66478418</c:v>
                </c:pt>
                <c:pt idx="30">
                  <c:v>-271.86706543</c:v>
                </c:pt>
                <c:pt idx="31">
                  <c:v>-290.38756738</c:v>
                </c:pt>
                <c:pt idx="32">
                  <c:v>-397.00317383</c:v>
                </c:pt>
                <c:pt idx="33">
                  <c:v>-434.89577149</c:v>
                </c:pt>
                <c:pt idx="34">
                  <c:v>-467.68066602</c:v>
                </c:pt>
                <c:pt idx="35">
                  <c:v>-487.81335449</c:v>
                </c:pt>
                <c:pt idx="36">
                  <c:v>-432.98367188</c:v>
                </c:pt>
                <c:pt idx="37">
                  <c:v>-297.98730469</c:v>
                </c:pt>
                <c:pt idx="38">
                  <c:v>-160.31266699</c:v>
                </c:pt>
                <c:pt idx="39">
                  <c:v>-86.1911621099998</c:v>
                </c:pt>
                <c:pt idx="40">
                  <c:v>10.7545859300001</c:v>
                </c:pt>
                <c:pt idx="41">
                  <c:v>16.0443706</c:v>
                </c:pt>
                <c:pt idx="42">
                  <c:v>-45.2056679679999</c:v>
                </c:pt>
                <c:pt idx="43">
                  <c:v>18.605899902</c:v>
                </c:pt>
                <c:pt idx="44">
                  <c:v>-77.19044876094</c:v>
                </c:pt>
              </c:numCache>
            </c:numRef>
          </c:yVal>
          <c:smooth val="0"/>
        </c:ser>
        <c:ser>
          <c:idx val="3"/>
          <c:order val="3"/>
          <c:tx>
            <c:v>Bedrock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Calculations!$B$12:$B$56</c:f>
              <c:numCache>
                <c:ptCount val="45"/>
                <c:pt idx="0">
                  <c:v>0</c:v>
                </c:pt>
                <c:pt idx="1">
                  <c:v>0.022727272727272728</c:v>
                </c:pt>
                <c:pt idx="2">
                  <c:v>0.045454545454545456</c:v>
                </c:pt>
                <c:pt idx="3">
                  <c:v>0.06818181818181818</c:v>
                </c:pt>
                <c:pt idx="4">
                  <c:v>0.09090909090909091</c:v>
                </c:pt>
                <c:pt idx="5">
                  <c:v>0.11363636363636365</c:v>
                </c:pt>
                <c:pt idx="6">
                  <c:v>0.13636363636363638</c:v>
                </c:pt>
                <c:pt idx="7">
                  <c:v>0.15909090909090912</c:v>
                </c:pt>
                <c:pt idx="8">
                  <c:v>0.18181818181818185</c:v>
                </c:pt>
                <c:pt idx="9">
                  <c:v>0.20454545454545459</c:v>
                </c:pt>
                <c:pt idx="10">
                  <c:v>0.22727272727272732</c:v>
                </c:pt>
                <c:pt idx="11">
                  <c:v>0.25000000000000006</c:v>
                </c:pt>
                <c:pt idx="12">
                  <c:v>0.27272727272727276</c:v>
                </c:pt>
                <c:pt idx="13">
                  <c:v>0.29545454545454547</c:v>
                </c:pt>
                <c:pt idx="14">
                  <c:v>0.3181818181818182</c:v>
                </c:pt>
                <c:pt idx="15">
                  <c:v>0.3409090909090909</c:v>
                </c:pt>
                <c:pt idx="16">
                  <c:v>0.3636363636363636</c:v>
                </c:pt>
                <c:pt idx="17">
                  <c:v>0.3863636363636363</c:v>
                </c:pt>
                <c:pt idx="18">
                  <c:v>0.409090909090909</c:v>
                </c:pt>
                <c:pt idx="19">
                  <c:v>0.4318181818181817</c:v>
                </c:pt>
                <c:pt idx="20">
                  <c:v>0.4545454545454544</c:v>
                </c:pt>
                <c:pt idx="21">
                  <c:v>0.4772727272727271</c:v>
                </c:pt>
                <c:pt idx="22">
                  <c:v>0.49999999999999983</c:v>
                </c:pt>
                <c:pt idx="23">
                  <c:v>0.5227272727272726</c:v>
                </c:pt>
                <c:pt idx="24">
                  <c:v>0.5454545454545453</c:v>
                </c:pt>
                <c:pt idx="25">
                  <c:v>0.568181818181818</c:v>
                </c:pt>
                <c:pt idx="26">
                  <c:v>0.5909090909090907</c:v>
                </c:pt>
                <c:pt idx="27">
                  <c:v>0.6136363636363634</c:v>
                </c:pt>
                <c:pt idx="28">
                  <c:v>0.6363636363636361</c:v>
                </c:pt>
                <c:pt idx="29">
                  <c:v>0.6590909090909088</c:v>
                </c:pt>
                <c:pt idx="30">
                  <c:v>0.6818181818181815</c:v>
                </c:pt>
                <c:pt idx="31">
                  <c:v>0.7045454545454543</c:v>
                </c:pt>
                <c:pt idx="32">
                  <c:v>0.727272727272727</c:v>
                </c:pt>
                <c:pt idx="33">
                  <c:v>0.7499999999999997</c:v>
                </c:pt>
                <c:pt idx="34">
                  <c:v>0.7727272727272724</c:v>
                </c:pt>
                <c:pt idx="35">
                  <c:v>0.7954545454545451</c:v>
                </c:pt>
                <c:pt idx="36">
                  <c:v>0.8181818181818178</c:v>
                </c:pt>
                <c:pt idx="37">
                  <c:v>0.8409090909090905</c:v>
                </c:pt>
                <c:pt idx="38">
                  <c:v>0.8636363636363632</c:v>
                </c:pt>
                <c:pt idx="39">
                  <c:v>0.8863636363636359</c:v>
                </c:pt>
                <c:pt idx="40">
                  <c:v>0.9090909090909086</c:v>
                </c:pt>
                <c:pt idx="41">
                  <c:v>0.9318181818181813</c:v>
                </c:pt>
                <c:pt idx="42">
                  <c:v>0.954545454545454</c:v>
                </c:pt>
                <c:pt idx="43">
                  <c:v>0.9772727272727267</c:v>
                </c:pt>
                <c:pt idx="44">
                  <c:v>0.9999999999999994</c:v>
                </c:pt>
              </c:numCache>
            </c:numRef>
          </c:xVal>
          <c:yVal>
            <c:numRef>
              <c:f>Calculations!$BC$12:$BC$56</c:f>
              <c:numCache>
                <c:ptCount val="45"/>
                <c:pt idx="0">
                  <c:v>-223.13610543877135</c:v>
                </c:pt>
                <c:pt idx="1">
                  <c:v>146.93209909062213</c:v>
                </c:pt>
                <c:pt idx="2">
                  <c:v>342.82209910023334</c:v>
                </c:pt>
                <c:pt idx="3">
                  <c:v>779.6380636901706</c:v>
                </c:pt>
                <c:pt idx="4">
                  <c:v>789.2778225974848</c:v>
                </c:pt>
                <c:pt idx="5">
                  <c:v>1087.204078151688</c:v>
                </c:pt>
                <c:pt idx="6">
                  <c:v>541.2451257365364</c:v>
                </c:pt>
                <c:pt idx="7">
                  <c:v>429.7497695252394</c:v>
                </c:pt>
                <c:pt idx="8">
                  <c:v>379.1833514348939</c:v>
                </c:pt>
                <c:pt idx="9">
                  <c:v>339.08548388530306</c:v>
                </c:pt>
                <c:pt idx="10">
                  <c:v>295.678366220606</c:v>
                </c:pt>
                <c:pt idx="11">
                  <c:v>332.57836132929083</c:v>
                </c:pt>
                <c:pt idx="12">
                  <c:v>333.2546470897849</c:v>
                </c:pt>
                <c:pt idx="13">
                  <c:v>276.81973300301826</c:v>
                </c:pt>
                <c:pt idx="14">
                  <c:v>234.01015357626056</c:v>
                </c:pt>
                <c:pt idx="15">
                  <c:v>239.53713680435158</c:v>
                </c:pt>
                <c:pt idx="16">
                  <c:v>244.51189719286663</c:v>
                </c:pt>
                <c:pt idx="17">
                  <c:v>254.84105248813938</c:v>
                </c:pt>
                <c:pt idx="18">
                  <c:v>250.736936178294</c:v>
                </c:pt>
                <c:pt idx="19">
                  <c:v>137.01115646423034</c:v>
                </c:pt>
                <c:pt idx="20">
                  <c:v>253.08280002089998</c:v>
                </c:pt>
                <c:pt idx="21">
                  <c:v>299.4229816631819</c:v>
                </c:pt>
                <c:pt idx="22">
                  <c:v>240.44480876701817</c:v>
                </c:pt>
                <c:pt idx="23">
                  <c:v>189.87861436781208</c:v>
                </c:pt>
                <c:pt idx="24">
                  <c:v>216.99272528995454</c:v>
                </c:pt>
                <c:pt idx="25">
                  <c:v>273.3228545217454</c:v>
                </c:pt>
                <c:pt idx="26">
                  <c:v>286.7482025681394</c:v>
                </c:pt>
                <c:pt idx="27">
                  <c:v>275.6187541741758</c:v>
                </c:pt>
                <c:pt idx="28">
                  <c:v>246.0775023836636</c:v>
                </c:pt>
                <c:pt idx="29">
                  <c:v>215.42171700517576</c:v>
                </c:pt>
                <c:pt idx="30">
                  <c:v>191.41986479748186</c:v>
                </c:pt>
                <c:pt idx="31">
                  <c:v>141.59471606084549</c:v>
                </c:pt>
                <c:pt idx="32">
                  <c:v>28.501942580775733</c:v>
                </c:pt>
                <c:pt idx="33">
                  <c:v>-9.751435638354565</c:v>
                </c:pt>
                <c:pt idx="34">
                  <c:v>-37.13667232849093</c:v>
                </c:pt>
                <c:pt idx="35">
                  <c:v>-44.60075831408483</c:v>
                </c:pt>
                <c:pt idx="36">
                  <c:v>3.957112946827351</c:v>
                </c:pt>
                <c:pt idx="37">
                  <c:v>117.02028923024545</c:v>
                </c:pt>
                <c:pt idx="38">
                  <c:v>235.9334401680455</c:v>
                </c:pt>
                <c:pt idx="39">
                  <c:v>292.0142153451608</c:v>
                </c:pt>
                <c:pt idx="40">
                  <c:v>346.0491470268122</c:v>
                </c:pt>
                <c:pt idx="41">
                  <c:v>294.45256763789695</c:v>
                </c:pt>
                <c:pt idx="42">
                  <c:v>182.90678134757098</c:v>
                </c:pt>
                <c:pt idx="43">
                  <c:v>189.70363338030333</c:v>
                </c:pt>
                <c:pt idx="44">
                  <c:v>-54.52322526408203</c:v>
                </c:pt>
              </c:numCache>
            </c:numRef>
          </c:yVal>
          <c:smooth val="0"/>
        </c:ser>
        <c:axId val="38272381"/>
        <c:axId val="8907110"/>
      </c:scatterChart>
      <c:valAx>
        <c:axId val="38272381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7110"/>
        <c:crosses val="autoZero"/>
        <c:crossBetween val="midCat"/>
        <c:dispUnits/>
      </c:valAx>
      <c:valAx>
        <c:axId val="8907110"/>
        <c:scaling>
          <c:orientation val="minMax"/>
          <c:max val="4500"/>
          <c:min val="-1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72381"/>
        <c:crosses val="autoZero"/>
        <c:crossBetween val="midCat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075"/>
          <c:y val="0.13175"/>
          <c:w val="0.30175"/>
          <c:h val="0.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4475"/>
          <c:w val="0.95675"/>
          <c:h val="0.9105"/>
        </c:manualLayout>
      </c:layout>
      <c:scatterChart>
        <c:scatterStyle val="lineMarker"/>
        <c:varyColors val="0"/>
        <c:ser>
          <c:idx val="0"/>
          <c:order val="0"/>
          <c:tx>
            <c:v>Balance (m/yr)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Calculations!$B$12:$B$56</c:f>
              <c:numCache>
                <c:ptCount val="45"/>
                <c:pt idx="0">
                  <c:v>0</c:v>
                </c:pt>
                <c:pt idx="1">
                  <c:v>0.022727272727272728</c:v>
                </c:pt>
                <c:pt idx="2">
                  <c:v>0.045454545454545456</c:v>
                </c:pt>
                <c:pt idx="3">
                  <c:v>0.06818181818181818</c:v>
                </c:pt>
                <c:pt idx="4">
                  <c:v>0.09090909090909091</c:v>
                </c:pt>
                <c:pt idx="5">
                  <c:v>0.11363636363636365</c:v>
                </c:pt>
                <c:pt idx="6">
                  <c:v>0.13636363636363638</c:v>
                </c:pt>
                <c:pt idx="7">
                  <c:v>0.15909090909090912</c:v>
                </c:pt>
                <c:pt idx="8">
                  <c:v>0.18181818181818185</c:v>
                </c:pt>
                <c:pt idx="9">
                  <c:v>0.20454545454545459</c:v>
                </c:pt>
                <c:pt idx="10">
                  <c:v>0.22727272727272732</c:v>
                </c:pt>
                <c:pt idx="11">
                  <c:v>0.25000000000000006</c:v>
                </c:pt>
                <c:pt idx="12">
                  <c:v>0.27272727272727276</c:v>
                </c:pt>
                <c:pt idx="13">
                  <c:v>0.29545454545454547</c:v>
                </c:pt>
                <c:pt idx="14">
                  <c:v>0.3181818181818182</c:v>
                </c:pt>
                <c:pt idx="15">
                  <c:v>0.3409090909090909</c:v>
                </c:pt>
                <c:pt idx="16">
                  <c:v>0.3636363636363636</c:v>
                </c:pt>
                <c:pt idx="17">
                  <c:v>0.3863636363636363</c:v>
                </c:pt>
                <c:pt idx="18">
                  <c:v>0.409090909090909</c:v>
                </c:pt>
                <c:pt idx="19">
                  <c:v>0.4318181818181817</c:v>
                </c:pt>
                <c:pt idx="20">
                  <c:v>0.4545454545454544</c:v>
                </c:pt>
                <c:pt idx="21">
                  <c:v>0.4772727272727271</c:v>
                </c:pt>
                <c:pt idx="22">
                  <c:v>0.49999999999999983</c:v>
                </c:pt>
                <c:pt idx="23">
                  <c:v>0.5227272727272726</c:v>
                </c:pt>
                <c:pt idx="24">
                  <c:v>0.5454545454545453</c:v>
                </c:pt>
                <c:pt idx="25">
                  <c:v>0.568181818181818</c:v>
                </c:pt>
                <c:pt idx="26">
                  <c:v>0.5909090909090907</c:v>
                </c:pt>
                <c:pt idx="27">
                  <c:v>0.6136363636363634</c:v>
                </c:pt>
                <c:pt idx="28">
                  <c:v>0.6363636363636361</c:v>
                </c:pt>
                <c:pt idx="29">
                  <c:v>0.6590909090909088</c:v>
                </c:pt>
                <c:pt idx="30">
                  <c:v>0.6818181818181815</c:v>
                </c:pt>
                <c:pt idx="31">
                  <c:v>0.7045454545454543</c:v>
                </c:pt>
                <c:pt idx="32">
                  <c:v>0.727272727272727</c:v>
                </c:pt>
                <c:pt idx="33">
                  <c:v>0.7499999999999997</c:v>
                </c:pt>
                <c:pt idx="34">
                  <c:v>0.7727272727272724</c:v>
                </c:pt>
                <c:pt idx="35">
                  <c:v>0.7954545454545451</c:v>
                </c:pt>
                <c:pt idx="36">
                  <c:v>0.8181818181818178</c:v>
                </c:pt>
                <c:pt idx="37">
                  <c:v>0.8409090909090905</c:v>
                </c:pt>
                <c:pt idx="38">
                  <c:v>0.8636363636363632</c:v>
                </c:pt>
                <c:pt idx="39">
                  <c:v>0.8863636363636359</c:v>
                </c:pt>
                <c:pt idx="40">
                  <c:v>0.9090909090909086</c:v>
                </c:pt>
                <c:pt idx="41">
                  <c:v>0.9318181818181813</c:v>
                </c:pt>
                <c:pt idx="42">
                  <c:v>0.954545454545454</c:v>
                </c:pt>
                <c:pt idx="43">
                  <c:v>0.9772727272727267</c:v>
                </c:pt>
                <c:pt idx="44">
                  <c:v>0.9999999999999994</c:v>
                </c:pt>
              </c:numCache>
            </c:numRef>
          </c:xVal>
          <c:yVal>
            <c:numRef>
              <c:f>Calculations!$BA$12:$BA$56</c:f>
              <c:numCache>
                <c:ptCount val="45"/>
                <c:pt idx="0">
                  <c:v>-2.0112</c:v>
                </c:pt>
                <c:pt idx="1">
                  <c:v>-1.5322799359021175</c:v>
                </c:pt>
                <c:pt idx="2">
                  <c:v>-0.21004553016329486</c:v>
                </c:pt>
                <c:pt idx="3">
                  <c:v>0.8065231146817522</c:v>
                </c:pt>
                <c:pt idx="4">
                  <c:v>0.8080711470721288</c:v>
                </c:pt>
                <c:pt idx="5">
                  <c:v>0.808060030521316</c:v>
                </c:pt>
                <c:pt idx="6">
                  <c:v>0.5965554089089339</c:v>
                </c:pt>
                <c:pt idx="7">
                  <c:v>0.24408289236349967</c:v>
                </c:pt>
                <c:pt idx="8">
                  <c:v>-0.000974373547158236</c:v>
                </c:pt>
                <c:pt idx="9">
                  <c:v>-0.23295177433019143</c:v>
                </c:pt>
                <c:pt idx="10">
                  <c:v>-0.5153438562016364</c:v>
                </c:pt>
                <c:pt idx="11">
                  <c:v>-0.2734248012942726</c:v>
                </c:pt>
                <c:pt idx="12">
                  <c:v>-0.2691846569976455</c:v>
                </c:pt>
                <c:pt idx="13">
                  <c:v>-0.6454664489357682</c:v>
                </c:pt>
                <c:pt idx="14">
                  <c:v>-0.9488711102222633</c:v>
                </c:pt>
                <c:pt idx="15">
                  <c:v>-0.9095000908555675</c:v>
                </c:pt>
                <c:pt idx="16">
                  <c:v>-0.8740468867481138</c:v>
                </c:pt>
                <c:pt idx="17">
                  <c:v>-0.8005199131112594</c:v>
                </c:pt>
                <c:pt idx="18">
                  <c:v>-0.8297095377816698</c:v>
                </c:pt>
                <c:pt idx="19">
                  <c:v>-1.5898696951190927</c:v>
                </c:pt>
                <c:pt idx="20">
                  <c:v>-0.813019666444162</c:v>
                </c:pt>
                <c:pt idx="21">
                  <c:v>-0.4899500894055355</c:v>
                </c:pt>
                <c:pt idx="22">
                  <c:v>-0.9030316110687537</c:v>
                </c:pt>
                <c:pt idx="23">
                  <c:v>-1.2574495423688</c:v>
                </c:pt>
                <c:pt idx="24">
                  <c:v>-1.069534162740656</c:v>
                </c:pt>
                <c:pt idx="25">
                  <c:v>-0.6699400996642002</c:v>
                </c:pt>
                <c:pt idx="26">
                  <c:v>-0.5765307661965153</c:v>
                </c:pt>
                <c:pt idx="27">
                  <c:v>-0.6538613857835115</c:v>
                </c:pt>
                <c:pt idx="28">
                  <c:v>-0.862891343534761</c:v>
                </c:pt>
                <c:pt idx="29">
                  <c:v>-1.0806006829744716</c:v>
                </c:pt>
                <c:pt idx="30">
                  <c:v>-1.2469861058940213</c:v>
                </c:pt>
                <c:pt idx="31">
                  <c:v>-1.5635909956454261</c:v>
                </c:pt>
                <c:pt idx="32">
                  <c:v>-1.9915229070743057</c:v>
                </c:pt>
                <c:pt idx="33">
                  <c:v>-2.0112</c:v>
                </c:pt>
                <c:pt idx="34">
                  <c:v>-2.0112</c:v>
                </c:pt>
                <c:pt idx="35">
                  <c:v>-2.0112</c:v>
                </c:pt>
                <c:pt idx="36">
                  <c:v>-2.010817761417846</c:v>
                </c:pt>
                <c:pt idx="37">
                  <c:v>-1.6972582354417614</c:v>
                </c:pt>
                <c:pt idx="38">
                  <c:v>-0.9351752919918345</c:v>
                </c:pt>
                <c:pt idx="39">
                  <c:v>-0.5403467933404476</c:v>
                </c:pt>
                <c:pt idx="40">
                  <c:v>-0.19046502275468213</c:v>
                </c:pt>
                <c:pt idx="41">
                  <c:v>-0.5236916827217272</c:v>
                </c:pt>
                <c:pt idx="42">
                  <c:v>-1.304359524806822</c:v>
                </c:pt>
                <c:pt idx="43">
                  <c:v>-1.2586354379667406</c:v>
                </c:pt>
                <c:pt idx="44">
                  <c:v>-2.0112</c:v>
                </c:pt>
              </c:numCache>
            </c:numRef>
          </c:yVal>
          <c:smooth val="0"/>
        </c:ser>
        <c:ser>
          <c:idx val="1"/>
          <c:order val="1"/>
          <c:tx>
            <c:v>Ablation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Calculations!$B$12:$B$56</c:f>
              <c:numCache>
                <c:ptCount val="45"/>
                <c:pt idx="0">
                  <c:v>0</c:v>
                </c:pt>
                <c:pt idx="1">
                  <c:v>0.022727272727272728</c:v>
                </c:pt>
                <c:pt idx="2">
                  <c:v>0.045454545454545456</c:v>
                </c:pt>
                <c:pt idx="3">
                  <c:v>0.06818181818181818</c:v>
                </c:pt>
                <c:pt idx="4">
                  <c:v>0.09090909090909091</c:v>
                </c:pt>
                <c:pt idx="5">
                  <c:v>0.11363636363636365</c:v>
                </c:pt>
                <c:pt idx="6">
                  <c:v>0.13636363636363638</c:v>
                </c:pt>
                <c:pt idx="7">
                  <c:v>0.15909090909090912</c:v>
                </c:pt>
                <c:pt idx="8">
                  <c:v>0.18181818181818185</c:v>
                </c:pt>
                <c:pt idx="9">
                  <c:v>0.20454545454545459</c:v>
                </c:pt>
                <c:pt idx="10">
                  <c:v>0.22727272727272732</c:v>
                </c:pt>
                <c:pt idx="11">
                  <c:v>0.25000000000000006</c:v>
                </c:pt>
                <c:pt idx="12">
                  <c:v>0.27272727272727276</c:v>
                </c:pt>
                <c:pt idx="13">
                  <c:v>0.29545454545454547</c:v>
                </c:pt>
                <c:pt idx="14">
                  <c:v>0.3181818181818182</c:v>
                </c:pt>
                <c:pt idx="15">
                  <c:v>0.3409090909090909</c:v>
                </c:pt>
                <c:pt idx="16">
                  <c:v>0.3636363636363636</c:v>
                </c:pt>
                <c:pt idx="17">
                  <c:v>0.3863636363636363</c:v>
                </c:pt>
                <c:pt idx="18">
                  <c:v>0.409090909090909</c:v>
                </c:pt>
                <c:pt idx="19">
                  <c:v>0.4318181818181817</c:v>
                </c:pt>
                <c:pt idx="20">
                  <c:v>0.4545454545454544</c:v>
                </c:pt>
                <c:pt idx="21">
                  <c:v>0.4772727272727271</c:v>
                </c:pt>
                <c:pt idx="22">
                  <c:v>0.49999999999999983</c:v>
                </c:pt>
                <c:pt idx="23">
                  <c:v>0.5227272727272726</c:v>
                </c:pt>
                <c:pt idx="24">
                  <c:v>0.5454545454545453</c:v>
                </c:pt>
                <c:pt idx="25">
                  <c:v>0.568181818181818</c:v>
                </c:pt>
                <c:pt idx="26">
                  <c:v>0.5909090909090907</c:v>
                </c:pt>
                <c:pt idx="27">
                  <c:v>0.6136363636363634</c:v>
                </c:pt>
                <c:pt idx="28">
                  <c:v>0.6363636363636361</c:v>
                </c:pt>
                <c:pt idx="29">
                  <c:v>0.6590909090909088</c:v>
                </c:pt>
                <c:pt idx="30">
                  <c:v>0.6818181818181815</c:v>
                </c:pt>
                <c:pt idx="31">
                  <c:v>0.7045454545454543</c:v>
                </c:pt>
                <c:pt idx="32">
                  <c:v>0.727272727272727</c:v>
                </c:pt>
                <c:pt idx="33">
                  <c:v>0.7499999999999997</c:v>
                </c:pt>
                <c:pt idx="34">
                  <c:v>0.7727272727272724</c:v>
                </c:pt>
                <c:pt idx="35">
                  <c:v>0.7954545454545451</c:v>
                </c:pt>
                <c:pt idx="36">
                  <c:v>0.8181818181818178</c:v>
                </c:pt>
                <c:pt idx="37">
                  <c:v>0.8409090909090905</c:v>
                </c:pt>
                <c:pt idx="38">
                  <c:v>0.8636363636363632</c:v>
                </c:pt>
                <c:pt idx="39">
                  <c:v>0.8863636363636359</c:v>
                </c:pt>
                <c:pt idx="40">
                  <c:v>0.9090909090909086</c:v>
                </c:pt>
                <c:pt idx="41">
                  <c:v>0.9318181818181813</c:v>
                </c:pt>
                <c:pt idx="42">
                  <c:v>0.954545454545454</c:v>
                </c:pt>
                <c:pt idx="43">
                  <c:v>0.9772727272727267</c:v>
                </c:pt>
                <c:pt idx="44">
                  <c:v>0.9999999999999994</c:v>
                </c:pt>
              </c:numCache>
            </c:numRef>
          </c:xVal>
          <c:yVal>
            <c:numRef>
              <c:f>Calculations!$AY$12:$AY$56</c:f>
              <c:numCache>
                <c:ptCount val="45"/>
                <c:pt idx="0">
                  <c:v>-2.849</c:v>
                </c:pt>
                <c:pt idx="1">
                  <c:v>-2.36952922947851</c:v>
                </c:pt>
                <c:pt idx="2">
                  <c:v>-1.0448521877461066</c:v>
                </c:pt>
                <c:pt idx="3">
                  <c:v>-0.01591111774464665</c:v>
                </c:pt>
                <c:pt idx="4">
                  <c:v>-0.013984378974624019</c:v>
                </c:pt>
                <c:pt idx="5">
                  <c:v>-0.0001184398912657955</c:v>
                </c:pt>
                <c:pt idx="6">
                  <c:v>-0.23380346505135677</c:v>
                </c:pt>
                <c:pt idx="7">
                  <c:v>-0.5890181536857187</c:v>
                </c:pt>
                <c:pt idx="8">
                  <c:v>-0.8351138654056253</c:v>
                </c:pt>
                <c:pt idx="9">
                  <c:v>-1.0678232131850816</c:v>
                </c:pt>
                <c:pt idx="10">
                  <c:v>-1.350916134807316</c:v>
                </c:pt>
                <c:pt idx="11">
                  <c:v>-1.1084073704471824</c:v>
                </c:pt>
                <c:pt idx="12">
                  <c:v>-1.1041557759492082</c:v>
                </c:pt>
                <c:pt idx="13">
                  <c:v>-1.481313507428049</c:v>
                </c:pt>
                <c:pt idx="14">
                  <c:v>-1.7852750155914432</c:v>
                </c:pt>
                <c:pt idx="15">
                  <c:v>-1.7458373311038995</c:v>
                </c:pt>
                <c:pt idx="16">
                  <c:v>-1.7103227967001589</c:v>
                </c:pt>
                <c:pt idx="17">
                  <c:v>-1.636664471459304</c:v>
                </c:pt>
                <c:pt idx="18">
                  <c:v>-1.6659069345919402</c:v>
                </c:pt>
                <c:pt idx="19">
                  <c:v>-2.427190820799348</c:v>
                </c:pt>
                <c:pt idx="20">
                  <c:v>-1.6491869660405094</c:v>
                </c:pt>
                <c:pt idx="21">
                  <c:v>-1.32546566421665</c:v>
                </c:pt>
                <c:pt idx="22">
                  <c:v>-1.7393577549566526</c:v>
                </c:pt>
                <c:pt idx="23">
                  <c:v>-2.0943300886589147</c:v>
                </c:pt>
                <c:pt idx="24">
                  <c:v>-1.9061335873010525</c:v>
                </c:pt>
                <c:pt idx="25">
                  <c:v>-1.5058361294096247</c:v>
                </c:pt>
                <c:pt idx="26">
                  <c:v>-1.4122354070123795</c:v>
                </c:pt>
                <c:pt idx="27">
                  <c:v>-1.489725332978463</c:v>
                </c:pt>
                <c:pt idx="28">
                  <c:v>-1.6991476924123161</c:v>
                </c:pt>
                <c:pt idx="29">
                  <c:v>-1.9172174156943755</c:v>
                </c:pt>
                <c:pt idx="30">
                  <c:v>-2.083851674290864</c:v>
                </c:pt>
                <c:pt idx="31">
                  <c:v>-2.4008795573058914</c:v>
                </c:pt>
                <c:pt idx="32">
                  <c:v>-2.8293021666002667</c:v>
                </c:pt>
                <c:pt idx="33">
                  <c:v>-2.849</c:v>
                </c:pt>
                <c:pt idx="34">
                  <c:v>-2.849</c:v>
                </c:pt>
                <c:pt idx="35">
                  <c:v>-2.849</c:v>
                </c:pt>
                <c:pt idx="36">
                  <c:v>-2.8486173598864903</c:v>
                </c:pt>
                <c:pt idx="37">
                  <c:v>-2.53470887282721</c:v>
                </c:pt>
                <c:pt idx="38">
                  <c:v>-1.7715561750785838</c:v>
                </c:pt>
                <c:pt idx="39">
                  <c:v>-1.3759738701952127</c:v>
                </c:pt>
                <c:pt idx="40">
                  <c:v>-1.0252151661657334</c:v>
                </c:pt>
                <c:pt idx="41">
                  <c:v>-1.3592823690941709</c:v>
                </c:pt>
                <c:pt idx="42">
                  <c:v>-2.141306314084214</c:v>
                </c:pt>
                <c:pt idx="43">
                  <c:v>-2.0955176770879698</c:v>
                </c:pt>
                <c:pt idx="44">
                  <c:v>-2.849</c:v>
                </c:pt>
              </c:numCache>
            </c:numRef>
          </c:yVal>
          <c:smooth val="0"/>
        </c:ser>
        <c:ser>
          <c:idx val="2"/>
          <c:order val="2"/>
          <c:tx>
            <c:v>Accumulation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Calculations!$B$12:$B$56</c:f>
              <c:numCache>
                <c:ptCount val="45"/>
                <c:pt idx="0">
                  <c:v>0</c:v>
                </c:pt>
                <c:pt idx="1">
                  <c:v>0.022727272727272728</c:v>
                </c:pt>
                <c:pt idx="2">
                  <c:v>0.045454545454545456</c:v>
                </c:pt>
                <c:pt idx="3">
                  <c:v>0.06818181818181818</c:v>
                </c:pt>
                <c:pt idx="4">
                  <c:v>0.09090909090909091</c:v>
                </c:pt>
                <c:pt idx="5">
                  <c:v>0.11363636363636365</c:v>
                </c:pt>
                <c:pt idx="6">
                  <c:v>0.13636363636363638</c:v>
                </c:pt>
                <c:pt idx="7">
                  <c:v>0.15909090909090912</c:v>
                </c:pt>
                <c:pt idx="8">
                  <c:v>0.18181818181818185</c:v>
                </c:pt>
                <c:pt idx="9">
                  <c:v>0.20454545454545459</c:v>
                </c:pt>
                <c:pt idx="10">
                  <c:v>0.22727272727272732</c:v>
                </c:pt>
                <c:pt idx="11">
                  <c:v>0.25000000000000006</c:v>
                </c:pt>
                <c:pt idx="12">
                  <c:v>0.27272727272727276</c:v>
                </c:pt>
                <c:pt idx="13">
                  <c:v>0.29545454545454547</c:v>
                </c:pt>
                <c:pt idx="14">
                  <c:v>0.3181818181818182</c:v>
                </c:pt>
                <c:pt idx="15">
                  <c:v>0.3409090909090909</c:v>
                </c:pt>
                <c:pt idx="16">
                  <c:v>0.3636363636363636</c:v>
                </c:pt>
                <c:pt idx="17">
                  <c:v>0.3863636363636363</c:v>
                </c:pt>
                <c:pt idx="18">
                  <c:v>0.409090909090909</c:v>
                </c:pt>
                <c:pt idx="19">
                  <c:v>0.4318181818181817</c:v>
                </c:pt>
                <c:pt idx="20">
                  <c:v>0.4545454545454544</c:v>
                </c:pt>
                <c:pt idx="21">
                  <c:v>0.4772727272727271</c:v>
                </c:pt>
                <c:pt idx="22">
                  <c:v>0.49999999999999983</c:v>
                </c:pt>
                <c:pt idx="23">
                  <c:v>0.5227272727272726</c:v>
                </c:pt>
                <c:pt idx="24">
                  <c:v>0.5454545454545453</c:v>
                </c:pt>
                <c:pt idx="25">
                  <c:v>0.568181818181818</c:v>
                </c:pt>
                <c:pt idx="26">
                  <c:v>0.5909090909090907</c:v>
                </c:pt>
                <c:pt idx="27">
                  <c:v>0.6136363636363634</c:v>
                </c:pt>
                <c:pt idx="28">
                  <c:v>0.6363636363636361</c:v>
                </c:pt>
                <c:pt idx="29">
                  <c:v>0.6590909090909088</c:v>
                </c:pt>
                <c:pt idx="30">
                  <c:v>0.6818181818181815</c:v>
                </c:pt>
                <c:pt idx="31">
                  <c:v>0.7045454545454543</c:v>
                </c:pt>
                <c:pt idx="32">
                  <c:v>0.727272727272727</c:v>
                </c:pt>
                <c:pt idx="33">
                  <c:v>0.7499999999999997</c:v>
                </c:pt>
                <c:pt idx="34">
                  <c:v>0.7727272727272724</c:v>
                </c:pt>
                <c:pt idx="35">
                  <c:v>0.7954545454545451</c:v>
                </c:pt>
                <c:pt idx="36">
                  <c:v>0.8181818181818178</c:v>
                </c:pt>
                <c:pt idx="37">
                  <c:v>0.8409090909090905</c:v>
                </c:pt>
                <c:pt idx="38">
                  <c:v>0.8636363636363632</c:v>
                </c:pt>
                <c:pt idx="39">
                  <c:v>0.8863636363636359</c:v>
                </c:pt>
                <c:pt idx="40">
                  <c:v>0.9090909090909086</c:v>
                </c:pt>
                <c:pt idx="41">
                  <c:v>0.9318181818181813</c:v>
                </c:pt>
                <c:pt idx="42">
                  <c:v>0.954545454545454</c:v>
                </c:pt>
                <c:pt idx="43">
                  <c:v>0.9772727272727267</c:v>
                </c:pt>
                <c:pt idx="44">
                  <c:v>0.9999999999999994</c:v>
                </c:pt>
              </c:numCache>
            </c:numRef>
          </c:xVal>
          <c:yVal>
            <c:numRef>
              <c:f>Calculations!$AZ$12:$AZ$56</c:f>
              <c:numCache>
                <c:ptCount val="45"/>
                <c:pt idx="0">
                  <c:v>0.8378</c:v>
                </c:pt>
                <c:pt idx="1">
                  <c:v>0.8372492935763926</c:v>
                </c:pt>
                <c:pt idx="2">
                  <c:v>0.8348066575828117</c:v>
                </c:pt>
                <c:pt idx="3">
                  <c:v>0.8224342324263988</c:v>
                </c:pt>
                <c:pt idx="4">
                  <c:v>0.8220555260467528</c:v>
                </c:pt>
                <c:pt idx="5">
                  <c:v>0.8081784704125818</c:v>
                </c:pt>
                <c:pt idx="6">
                  <c:v>0.8303588739602906</c:v>
                </c:pt>
                <c:pt idx="7">
                  <c:v>0.8331010460492184</c:v>
                </c:pt>
                <c:pt idx="8">
                  <c:v>0.834139491858467</c:v>
                </c:pt>
                <c:pt idx="9">
                  <c:v>0.8348714388548901</c:v>
                </c:pt>
                <c:pt idx="10">
                  <c:v>0.8355722786056796</c:v>
                </c:pt>
                <c:pt idx="11">
                  <c:v>0.8349825691529098</c:v>
                </c:pt>
                <c:pt idx="12">
                  <c:v>0.8349711189515627</c:v>
                </c:pt>
                <c:pt idx="13">
                  <c:v>0.8358470584922808</c:v>
                </c:pt>
                <c:pt idx="14">
                  <c:v>0.8364039053691799</c:v>
                </c:pt>
                <c:pt idx="15">
                  <c:v>0.836337240248332</c:v>
                </c:pt>
                <c:pt idx="16">
                  <c:v>0.836275909952045</c:v>
                </c:pt>
                <c:pt idx="17">
                  <c:v>0.8361445583480446</c:v>
                </c:pt>
                <c:pt idx="18">
                  <c:v>0.8361973968102704</c:v>
                </c:pt>
                <c:pt idx="19">
                  <c:v>0.8373211256802553</c:v>
                </c:pt>
                <c:pt idx="20">
                  <c:v>0.8361672995963474</c:v>
                </c:pt>
                <c:pt idx="21">
                  <c:v>0.8355155748111145</c:v>
                </c:pt>
                <c:pt idx="22">
                  <c:v>0.8363261438878988</c:v>
                </c:pt>
                <c:pt idx="23">
                  <c:v>0.8368805462901148</c:v>
                </c:pt>
                <c:pt idx="24">
                  <c:v>0.8365994245603965</c:v>
                </c:pt>
                <c:pt idx="25">
                  <c:v>0.8358960297454245</c:v>
                </c:pt>
                <c:pt idx="26">
                  <c:v>0.8357046408158642</c:v>
                </c:pt>
                <c:pt idx="27">
                  <c:v>0.8358639471949515</c:v>
                </c:pt>
                <c:pt idx="28">
                  <c:v>0.8362563488775551</c:v>
                </c:pt>
                <c:pt idx="29">
                  <c:v>0.836616732719904</c:v>
                </c:pt>
                <c:pt idx="30">
                  <c:v>0.8368655683968428</c:v>
                </c:pt>
                <c:pt idx="31">
                  <c:v>0.8372885616604652</c:v>
                </c:pt>
                <c:pt idx="32">
                  <c:v>0.8377792595259611</c:v>
                </c:pt>
                <c:pt idx="33">
                  <c:v>0.8378</c:v>
                </c:pt>
                <c:pt idx="34">
                  <c:v>0.8378</c:v>
                </c:pt>
                <c:pt idx="35">
                  <c:v>0.8378</c:v>
                </c:pt>
                <c:pt idx="36">
                  <c:v>0.8377995984686443</c:v>
                </c:pt>
                <c:pt idx="37">
                  <c:v>0.8374506373854486</c:v>
                </c:pt>
                <c:pt idx="38">
                  <c:v>0.8363808830867493</c:v>
                </c:pt>
                <c:pt idx="39">
                  <c:v>0.8356270768547651</c:v>
                </c:pt>
                <c:pt idx="40">
                  <c:v>0.8347501434110512</c:v>
                </c:pt>
                <c:pt idx="41">
                  <c:v>0.8355906863724437</c:v>
                </c:pt>
                <c:pt idx="42">
                  <c:v>0.8369467892773919</c:v>
                </c:pt>
                <c:pt idx="43">
                  <c:v>0.8368822391212293</c:v>
                </c:pt>
                <c:pt idx="44">
                  <c:v>0.8378</c:v>
                </c:pt>
              </c:numCache>
            </c:numRef>
          </c:yVal>
          <c:smooth val="0"/>
        </c:ser>
        <c:axId val="13055127"/>
        <c:axId val="50387280"/>
      </c:scatterChart>
      <c:valAx>
        <c:axId val="13055127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87280"/>
        <c:crosses val="autoZero"/>
        <c:crossBetween val="midCat"/>
        <c:dispUnits/>
      </c:valAx>
      <c:valAx>
        <c:axId val="50387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551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825"/>
          <c:y val="0.65475"/>
          <c:w val="0.29225"/>
          <c:h val="0.2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3875"/>
          <c:w val="0.97"/>
          <c:h val="0.9225"/>
        </c:manualLayout>
      </c:layout>
      <c:scatterChart>
        <c:scatterStyle val="lineMarker"/>
        <c:varyColors val="0"/>
        <c:ser>
          <c:idx val="0"/>
          <c:order val="0"/>
          <c:tx>
            <c:v>Velocity (m/yr)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Calculations!$B$12:$B$56</c:f>
              <c:numCache>
                <c:ptCount val="45"/>
                <c:pt idx="0">
                  <c:v>0</c:v>
                </c:pt>
                <c:pt idx="1">
                  <c:v>0.022727272727272728</c:v>
                </c:pt>
                <c:pt idx="2">
                  <c:v>0.045454545454545456</c:v>
                </c:pt>
                <c:pt idx="3">
                  <c:v>0.06818181818181818</c:v>
                </c:pt>
                <c:pt idx="4">
                  <c:v>0.09090909090909091</c:v>
                </c:pt>
                <c:pt idx="5">
                  <c:v>0.11363636363636365</c:v>
                </c:pt>
                <c:pt idx="6">
                  <c:v>0.13636363636363638</c:v>
                </c:pt>
                <c:pt idx="7">
                  <c:v>0.15909090909090912</c:v>
                </c:pt>
                <c:pt idx="8">
                  <c:v>0.18181818181818185</c:v>
                </c:pt>
                <c:pt idx="9">
                  <c:v>0.20454545454545459</c:v>
                </c:pt>
                <c:pt idx="10">
                  <c:v>0.22727272727272732</c:v>
                </c:pt>
                <c:pt idx="11">
                  <c:v>0.25000000000000006</c:v>
                </c:pt>
                <c:pt idx="12">
                  <c:v>0.27272727272727276</c:v>
                </c:pt>
                <c:pt idx="13">
                  <c:v>0.29545454545454547</c:v>
                </c:pt>
                <c:pt idx="14">
                  <c:v>0.3181818181818182</c:v>
                </c:pt>
                <c:pt idx="15">
                  <c:v>0.3409090909090909</c:v>
                </c:pt>
                <c:pt idx="16">
                  <c:v>0.3636363636363636</c:v>
                </c:pt>
                <c:pt idx="17">
                  <c:v>0.3863636363636363</c:v>
                </c:pt>
                <c:pt idx="18">
                  <c:v>0.409090909090909</c:v>
                </c:pt>
                <c:pt idx="19">
                  <c:v>0.4318181818181817</c:v>
                </c:pt>
                <c:pt idx="20">
                  <c:v>0.4545454545454544</c:v>
                </c:pt>
                <c:pt idx="21">
                  <c:v>0.4772727272727271</c:v>
                </c:pt>
                <c:pt idx="22">
                  <c:v>0.49999999999999983</c:v>
                </c:pt>
                <c:pt idx="23">
                  <c:v>0.5227272727272726</c:v>
                </c:pt>
                <c:pt idx="24">
                  <c:v>0.5454545454545453</c:v>
                </c:pt>
                <c:pt idx="25">
                  <c:v>0.568181818181818</c:v>
                </c:pt>
                <c:pt idx="26">
                  <c:v>0.5909090909090907</c:v>
                </c:pt>
                <c:pt idx="27">
                  <c:v>0.6136363636363634</c:v>
                </c:pt>
                <c:pt idx="28">
                  <c:v>0.6363636363636361</c:v>
                </c:pt>
                <c:pt idx="29">
                  <c:v>0.6590909090909088</c:v>
                </c:pt>
                <c:pt idx="30">
                  <c:v>0.6818181818181815</c:v>
                </c:pt>
                <c:pt idx="31">
                  <c:v>0.7045454545454543</c:v>
                </c:pt>
                <c:pt idx="32">
                  <c:v>0.727272727272727</c:v>
                </c:pt>
                <c:pt idx="33">
                  <c:v>0.7499999999999997</c:v>
                </c:pt>
                <c:pt idx="34">
                  <c:v>0.7727272727272724</c:v>
                </c:pt>
                <c:pt idx="35">
                  <c:v>0.7954545454545451</c:v>
                </c:pt>
                <c:pt idx="36">
                  <c:v>0.8181818181818178</c:v>
                </c:pt>
                <c:pt idx="37">
                  <c:v>0.8409090909090905</c:v>
                </c:pt>
                <c:pt idx="38">
                  <c:v>0.8636363636363632</c:v>
                </c:pt>
                <c:pt idx="39">
                  <c:v>0.8863636363636359</c:v>
                </c:pt>
                <c:pt idx="40">
                  <c:v>0.9090909090909086</c:v>
                </c:pt>
                <c:pt idx="41">
                  <c:v>0.9318181818181813</c:v>
                </c:pt>
                <c:pt idx="42">
                  <c:v>0.954545454545454</c:v>
                </c:pt>
                <c:pt idx="43">
                  <c:v>0.9772727272727267</c:v>
                </c:pt>
                <c:pt idx="44">
                  <c:v>0.9999999999999994</c:v>
                </c:pt>
              </c:numCache>
            </c:numRef>
          </c:xVal>
          <c:yVal>
            <c:numRef>
              <c:f>Calculations!$AT$12:$AT$56</c:f>
              <c:numCache>
                <c:ptCount val="45"/>
                <c:pt idx="0">
                  <c:v>0</c:v>
                </c:pt>
                <c:pt idx="1">
                  <c:v>9.15960053891795E-13</c:v>
                </c:pt>
                <c:pt idx="2">
                  <c:v>7.52881226886825E-13</c:v>
                </c:pt>
                <c:pt idx="3">
                  <c:v>1.379149646315571E-13</c:v>
                </c:pt>
                <c:pt idx="4">
                  <c:v>4.4619857734195486E-14</c:v>
                </c:pt>
                <c:pt idx="5">
                  <c:v>1.7687744551797242E-14</c:v>
                </c:pt>
                <c:pt idx="6">
                  <c:v>5.961420649843525E-13</c:v>
                </c:pt>
                <c:pt idx="7">
                  <c:v>1.0697802774269969E-14</c:v>
                </c:pt>
                <c:pt idx="8">
                  <c:v>2.058021288503395E-15</c:v>
                </c:pt>
                <c:pt idx="9">
                  <c:v>1.7445431312817775E-15</c:v>
                </c:pt>
                <c:pt idx="10">
                  <c:v>9.090728944833902E-19</c:v>
                </c:pt>
                <c:pt idx="11">
                  <c:v>1.611808662000895E-16</c:v>
                </c:pt>
                <c:pt idx="12">
                  <c:v>5.258695093004701E-16</c:v>
                </c:pt>
                <c:pt idx="13">
                  <c:v>3.373562840967169E-15</c:v>
                </c:pt>
                <c:pt idx="14">
                  <c:v>1.9971027117193163E-16</c:v>
                </c:pt>
                <c:pt idx="15">
                  <c:v>4.397188021108287E-18</c:v>
                </c:pt>
                <c:pt idx="16">
                  <c:v>1.3428815827834994E-17</c:v>
                </c:pt>
                <c:pt idx="17">
                  <c:v>8.796982025321633E-19</c:v>
                </c:pt>
                <c:pt idx="18">
                  <c:v>6.029675001645019E-15</c:v>
                </c:pt>
                <c:pt idx="19">
                  <c:v>6.762056161287917E-20</c:v>
                </c:pt>
                <c:pt idx="20">
                  <c:v>1.5693999824361075E-14</c:v>
                </c:pt>
                <c:pt idx="21">
                  <c:v>6.602202975734637E-18</c:v>
                </c:pt>
                <c:pt idx="22">
                  <c:v>4.978564700174917E-15</c:v>
                </c:pt>
                <c:pt idx="23">
                  <c:v>5.650176253372643E-17</c:v>
                </c:pt>
                <c:pt idx="24">
                  <c:v>2.3479509618154956E-15</c:v>
                </c:pt>
                <c:pt idx="25">
                  <c:v>1.181478785508825E-15</c:v>
                </c:pt>
                <c:pt idx="26">
                  <c:v>4.0778642009027964E-20</c:v>
                </c:pt>
                <c:pt idx="27">
                  <c:v>2.328568421432899E-16</c:v>
                </c:pt>
                <c:pt idx="28">
                  <c:v>8.138757279739887E-16</c:v>
                </c:pt>
                <c:pt idx="29">
                  <c:v>6.628361624247935E-16</c:v>
                </c:pt>
                <c:pt idx="30">
                  <c:v>1.7542655824373796E-15</c:v>
                </c:pt>
                <c:pt idx="31">
                  <c:v>2.2272398418813682E-14</c:v>
                </c:pt>
                <c:pt idx="32">
                  <c:v>3.035769370207455E-14</c:v>
                </c:pt>
                <c:pt idx="33">
                  <c:v>3.244992485200161E-15</c:v>
                </c:pt>
                <c:pt idx="34">
                  <c:v>6.243524244975116E-16</c:v>
                </c:pt>
                <c:pt idx="35">
                  <c:v>1.1101261378392635E-15</c:v>
                </c:pt>
                <c:pt idx="36">
                  <c:v>4.359461480121169E-14</c:v>
                </c:pt>
                <c:pt idx="37">
                  <c:v>7.061638107961071E-14</c:v>
                </c:pt>
                <c:pt idx="38">
                  <c:v>2.0543813338278524E-14</c:v>
                </c:pt>
                <c:pt idx="39">
                  <c:v>4.4433190977857526E-15</c:v>
                </c:pt>
                <c:pt idx="40">
                  <c:v>4.280304834542338E-20</c:v>
                </c:pt>
                <c:pt idx="41">
                  <c:v>1.436731443222876E-14</c:v>
                </c:pt>
                <c:pt idx="42">
                  <c:v>5.1457219569224855E-15</c:v>
                </c:pt>
                <c:pt idx="43">
                  <c:v>5.866241353483265E-14</c:v>
                </c:pt>
                <c:pt idx="4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Basal velocity (m/yr)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Calculations!$B$12:$B$56</c:f>
              <c:numCache>
                <c:ptCount val="45"/>
                <c:pt idx="0">
                  <c:v>0</c:v>
                </c:pt>
                <c:pt idx="1">
                  <c:v>0.022727272727272728</c:v>
                </c:pt>
                <c:pt idx="2">
                  <c:v>0.045454545454545456</c:v>
                </c:pt>
                <c:pt idx="3">
                  <c:v>0.06818181818181818</c:v>
                </c:pt>
                <c:pt idx="4">
                  <c:v>0.09090909090909091</c:v>
                </c:pt>
                <c:pt idx="5">
                  <c:v>0.11363636363636365</c:v>
                </c:pt>
                <c:pt idx="6">
                  <c:v>0.13636363636363638</c:v>
                </c:pt>
                <c:pt idx="7">
                  <c:v>0.15909090909090912</c:v>
                </c:pt>
                <c:pt idx="8">
                  <c:v>0.18181818181818185</c:v>
                </c:pt>
                <c:pt idx="9">
                  <c:v>0.20454545454545459</c:v>
                </c:pt>
                <c:pt idx="10">
                  <c:v>0.22727272727272732</c:v>
                </c:pt>
                <c:pt idx="11">
                  <c:v>0.25000000000000006</c:v>
                </c:pt>
                <c:pt idx="12">
                  <c:v>0.27272727272727276</c:v>
                </c:pt>
                <c:pt idx="13">
                  <c:v>0.29545454545454547</c:v>
                </c:pt>
                <c:pt idx="14">
                  <c:v>0.3181818181818182</c:v>
                </c:pt>
                <c:pt idx="15">
                  <c:v>0.3409090909090909</c:v>
                </c:pt>
                <c:pt idx="16">
                  <c:v>0.3636363636363636</c:v>
                </c:pt>
                <c:pt idx="17">
                  <c:v>0.3863636363636363</c:v>
                </c:pt>
                <c:pt idx="18">
                  <c:v>0.409090909090909</c:v>
                </c:pt>
                <c:pt idx="19">
                  <c:v>0.4318181818181817</c:v>
                </c:pt>
                <c:pt idx="20">
                  <c:v>0.4545454545454544</c:v>
                </c:pt>
                <c:pt idx="21">
                  <c:v>0.4772727272727271</c:v>
                </c:pt>
                <c:pt idx="22">
                  <c:v>0.49999999999999983</c:v>
                </c:pt>
                <c:pt idx="23">
                  <c:v>0.5227272727272726</c:v>
                </c:pt>
                <c:pt idx="24">
                  <c:v>0.5454545454545453</c:v>
                </c:pt>
                <c:pt idx="25">
                  <c:v>0.568181818181818</c:v>
                </c:pt>
                <c:pt idx="26">
                  <c:v>0.5909090909090907</c:v>
                </c:pt>
                <c:pt idx="27">
                  <c:v>0.6136363636363634</c:v>
                </c:pt>
                <c:pt idx="28">
                  <c:v>0.6363636363636361</c:v>
                </c:pt>
                <c:pt idx="29">
                  <c:v>0.6590909090909088</c:v>
                </c:pt>
                <c:pt idx="30">
                  <c:v>0.6818181818181815</c:v>
                </c:pt>
                <c:pt idx="31">
                  <c:v>0.7045454545454543</c:v>
                </c:pt>
                <c:pt idx="32">
                  <c:v>0.727272727272727</c:v>
                </c:pt>
                <c:pt idx="33">
                  <c:v>0.7499999999999997</c:v>
                </c:pt>
                <c:pt idx="34">
                  <c:v>0.7727272727272724</c:v>
                </c:pt>
                <c:pt idx="35">
                  <c:v>0.7954545454545451</c:v>
                </c:pt>
                <c:pt idx="36">
                  <c:v>0.8181818181818178</c:v>
                </c:pt>
                <c:pt idx="37">
                  <c:v>0.8409090909090905</c:v>
                </c:pt>
                <c:pt idx="38">
                  <c:v>0.8636363636363632</c:v>
                </c:pt>
                <c:pt idx="39">
                  <c:v>0.8863636363636359</c:v>
                </c:pt>
                <c:pt idx="40">
                  <c:v>0.9090909090909086</c:v>
                </c:pt>
                <c:pt idx="41">
                  <c:v>0.9318181818181813</c:v>
                </c:pt>
                <c:pt idx="42">
                  <c:v>0.954545454545454</c:v>
                </c:pt>
                <c:pt idx="43">
                  <c:v>0.9772727272727267</c:v>
                </c:pt>
                <c:pt idx="44">
                  <c:v>0.9999999999999994</c:v>
                </c:pt>
              </c:numCache>
            </c:numRef>
          </c:xVal>
          <c:yVal>
            <c:numRef>
              <c:f>Calculations!$AU$12:$AU$56</c:f>
              <c:numCache>
                <c:ptCount val="45"/>
                <c:pt idx="0">
                  <c:v>0</c:v>
                </c:pt>
                <c:pt idx="1">
                  <c:v>9.159577542002545E-13</c:v>
                </c:pt>
                <c:pt idx="2">
                  <c:v>7.528780139715564E-13</c:v>
                </c:pt>
                <c:pt idx="3">
                  <c:v>1.3791383580122294E-13</c:v>
                </c:pt>
                <c:pt idx="4">
                  <c:v>4.461948866438534E-14</c:v>
                </c:pt>
                <c:pt idx="5">
                  <c:v>1.768755098971173E-14</c:v>
                </c:pt>
                <c:pt idx="6">
                  <c:v>5.961384601093181E-13</c:v>
                </c:pt>
                <c:pt idx="7">
                  <c:v>1.069774878154398E-14</c:v>
                </c:pt>
                <c:pt idx="8">
                  <c:v>2.0580118347946403E-15</c:v>
                </c:pt>
                <c:pt idx="9">
                  <c:v>1.7445357449179288E-15</c:v>
                </c:pt>
                <c:pt idx="10">
                  <c:v>9.090693993766334E-19</c:v>
                </c:pt>
                <c:pt idx="11">
                  <c:v>1.6118019316940207E-16</c:v>
                </c:pt>
                <c:pt idx="12">
                  <c:v>5.258673102776762E-16</c:v>
                </c:pt>
                <c:pt idx="13">
                  <c:v>3.3735504412224087E-15</c:v>
                </c:pt>
                <c:pt idx="14">
                  <c:v>1.9970961379883265E-16</c:v>
                </c:pt>
                <c:pt idx="15">
                  <c:v>4.397173329216497E-18</c:v>
                </c:pt>
                <c:pt idx="16">
                  <c:v>1.3428770360324107E-17</c:v>
                </c:pt>
                <c:pt idx="17">
                  <c:v>8.796951425442331E-19</c:v>
                </c:pt>
                <c:pt idx="18">
                  <c:v>6.0296542496444845E-15</c:v>
                </c:pt>
                <c:pt idx="19">
                  <c:v>6.762039785511852E-20</c:v>
                </c:pt>
                <c:pt idx="20">
                  <c:v>1.5693945481008496E-14</c:v>
                </c:pt>
                <c:pt idx="21">
                  <c:v>6.602177370566147E-18</c:v>
                </c:pt>
                <c:pt idx="22">
                  <c:v>4.978548025259467E-15</c:v>
                </c:pt>
                <c:pt idx="23">
                  <c:v>5.650159891320185E-17</c:v>
                </c:pt>
                <c:pt idx="24">
                  <c:v>2.347943591559385E-15</c:v>
                </c:pt>
                <c:pt idx="25">
                  <c:v>1.1814744799608745E-15</c:v>
                </c:pt>
                <c:pt idx="26">
                  <c:v>4.077848849354139E-20</c:v>
                </c:pt>
                <c:pt idx="27">
                  <c:v>2.32855988771201E-16</c:v>
                </c:pt>
                <c:pt idx="28">
                  <c:v>8.138729609123377E-16</c:v>
                </c:pt>
                <c:pt idx="29">
                  <c:v>6.628340911102402E-16</c:v>
                </c:pt>
                <c:pt idx="30">
                  <c:v>1.7542604781024197E-15</c:v>
                </c:pt>
                <c:pt idx="31">
                  <c:v>2.2272343565852878E-14</c:v>
                </c:pt>
                <c:pt idx="32">
                  <c:v>3.0357649726893694E-14</c:v>
                </c:pt>
                <c:pt idx="33">
                  <c:v>3.244988897867011E-15</c:v>
                </c:pt>
                <c:pt idx="34">
                  <c:v>6.243518876183945E-16</c:v>
                </c:pt>
                <c:pt idx="35">
                  <c:v>1.1101252575570465E-15</c:v>
                </c:pt>
                <c:pt idx="36">
                  <c:v>4.359456124778827E-14</c:v>
                </c:pt>
                <c:pt idx="37">
                  <c:v>7.061622272726867E-14</c:v>
                </c:pt>
                <c:pt idx="38">
                  <c:v>2.05437453612132E-14</c:v>
                </c:pt>
                <c:pt idx="39">
                  <c:v>4.4433021605980905E-15</c:v>
                </c:pt>
                <c:pt idx="40">
                  <c:v>4.2802864444951165E-20</c:v>
                </c:pt>
                <c:pt idx="41">
                  <c:v>1.4367259352251367E-14</c:v>
                </c:pt>
                <c:pt idx="42">
                  <c:v>5.1457073774327084E-15</c:v>
                </c:pt>
                <c:pt idx="43">
                  <c:v>5.866224374944897E-14</c:v>
                </c:pt>
                <c:pt idx="44">
                  <c:v>0</c:v>
                </c:pt>
              </c:numCache>
            </c:numRef>
          </c:yVal>
          <c:smooth val="0"/>
        </c:ser>
        <c:axId val="50832337"/>
        <c:axId val="54837850"/>
      </c:scatterChart>
      <c:valAx>
        <c:axId val="50832337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37850"/>
        <c:crosses val="autoZero"/>
        <c:crossBetween val="midCat"/>
        <c:dispUnits/>
      </c:valAx>
      <c:valAx>
        <c:axId val="54837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323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05"/>
          <c:y val="0.00775"/>
          <c:w val="0.37325"/>
          <c:h val="0.1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445"/>
          <c:w val="0.97"/>
          <c:h val="0.91075"/>
        </c:manualLayout>
      </c:layout>
      <c:scatterChart>
        <c:scatterStyle val="lineMarker"/>
        <c:varyColors val="0"/>
        <c:ser>
          <c:idx val="0"/>
          <c:order val="0"/>
          <c:tx>
            <c:v>Temp [year] (C)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Calculations!$B$12:$B$56</c:f>
              <c:numCache>
                <c:ptCount val="45"/>
                <c:pt idx="0">
                  <c:v>0</c:v>
                </c:pt>
                <c:pt idx="1">
                  <c:v>0.022727272727272728</c:v>
                </c:pt>
                <c:pt idx="2">
                  <c:v>0.045454545454545456</c:v>
                </c:pt>
                <c:pt idx="3">
                  <c:v>0.06818181818181818</c:v>
                </c:pt>
                <c:pt idx="4">
                  <c:v>0.09090909090909091</c:v>
                </c:pt>
                <c:pt idx="5">
                  <c:v>0.11363636363636365</c:v>
                </c:pt>
                <c:pt idx="6">
                  <c:v>0.13636363636363638</c:v>
                </c:pt>
                <c:pt idx="7">
                  <c:v>0.15909090909090912</c:v>
                </c:pt>
                <c:pt idx="8">
                  <c:v>0.18181818181818185</c:v>
                </c:pt>
                <c:pt idx="9">
                  <c:v>0.20454545454545459</c:v>
                </c:pt>
                <c:pt idx="10">
                  <c:v>0.22727272727272732</c:v>
                </c:pt>
                <c:pt idx="11">
                  <c:v>0.25000000000000006</c:v>
                </c:pt>
                <c:pt idx="12">
                  <c:v>0.27272727272727276</c:v>
                </c:pt>
                <c:pt idx="13">
                  <c:v>0.29545454545454547</c:v>
                </c:pt>
                <c:pt idx="14">
                  <c:v>0.3181818181818182</c:v>
                </c:pt>
                <c:pt idx="15">
                  <c:v>0.3409090909090909</c:v>
                </c:pt>
                <c:pt idx="16">
                  <c:v>0.3636363636363636</c:v>
                </c:pt>
                <c:pt idx="17">
                  <c:v>0.3863636363636363</c:v>
                </c:pt>
                <c:pt idx="18">
                  <c:v>0.409090909090909</c:v>
                </c:pt>
                <c:pt idx="19">
                  <c:v>0.4318181818181817</c:v>
                </c:pt>
                <c:pt idx="20">
                  <c:v>0.4545454545454544</c:v>
                </c:pt>
                <c:pt idx="21">
                  <c:v>0.4772727272727271</c:v>
                </c:pt>
                <c:pt idx="22">
                  <c:v>0.49999999999999983</c:v>
                </c:pt>
                <c:pt idx="23">
                  <c:v>0.5227272727272726</c:v>
                </c:pt>
                <c:pt idx="24">
                  <c:v>0.5454545454545453</c:v>
                </c:pt>
                <c:pt idx="25">
                  <c:v>0.568181818181818</c:v>
                </c:pt>
                <c:pt idx="26">
                  <c:v>0.5909090909090907</c:v>
                </c:pt>
                <c:pt idx="27">
                  <c:v>0.6136363636363634</c:v>
                </c:pt>
                <c:pt idx="28">
                  <c:v>0.6363636363636361</c:v>
                </c:pt>
                <c:pt idx="29">
                  <c:v>0.6590909090909088</c:v>
                </c:pt>
                <c:pt idx="30">
                  <c:v>0.6818181818181815</c:v>
                </c:pt>
                <c:pt idx="31">
                  <c:v>0.7045454545454543</c:v>
                </c:pt>
                <c:pt idx="32">
                  <c:v>0.727272727272727</c:v>
                </c:pt>
                <c:pt idx="33">
                  <c:v>0.7499999999999997</c:v>
                </c:pt>
                <c:pt idx="34">
                  <c:v>0.7727272727272724</c:v>
                </c:pt>
                <c:pt idx="35">
                  <c:v>0.7954545454545451</c:v>
                </c:pt>
                <c:pt idx="36">
                  <c:v>0.8181818181818178</c:v>
                </c:pt>
                <c:pt idx="37">
                  <c:v>0.8409090909090905</c:v>
                </c:pt>
                <c:pt idx="38">
                  <c:v>0.8636363636363632</c:v>
                </c:pt>
                <c:pt idx="39">
                  <c:v>0.8863636363636359</c:v>
                </c:pt>
                <c:pt idx="40">
                  <c:v>0.9090909090909086</c:v>
                </c:pt>
                <c:pt idx="41">
                  <c:v>0.9318181818181813</c:v>
                </c:pt>
                <c:pt idx="42">
                  <c:v>0.954545454545454</c:v>
                </c:pt>
                <c:pt idx="43">
                  <c:v>0.9772727272727267</c:v>
                </c:pt>
                <c:pt idx="44">
                  <c:v>0.9999999999999994</c:v>
                </c:pt>
              </c:numCache>
            </c:numRef>
          </c:xVal>
          <c:yVal>
            <c:numRef>
              <c:f>Calculations!$AW$12:$AW$56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Temp [summer] (C)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Calculations!$B$12:$B$56</c:f>
              <c:numCache>
                <c:ptCount val="45"/>
                <c:pt idx="0">
                  <c:v>0</c:v>
                </c:pt>
                <c:pt idx="1">
                  <c:v>0.022727272727272728</c:v>
                </c:pt>
                <c:pt idx="2">
                  <c:v>0.045454545454545456</c:v>
                </c:pt>
                <c:pt idx="3">
                  <c:v>0.06818181818181818</c:v>
                </c:pt>
                <c:pt idx="4">
                  <c:v>0.09090909090909091</c:v>
                </c:pt>
                <c:pt idx="5">
                  <c:v>0.11363636363636365</c:v>
                </c:pt>
                <c:pt idx="6">
                  <c:v>0.13636363636363638</c:v>
                </c:pt>
                <c:pt idx="7">
                  <c:v>0.15909090909090912</c:v>
                </c:pt>
                <c:pt idx="8">
                  <c:v>0.18181818181818185</c:v>
                </c:pt>
                <c:pt idx="9">
                  <c:v>0.20454545454545459</c:v>
                </c:pt>
                <c:pt idx="10">
                  <c:v>0.22727272727272732</c:v>
                </c:pt>
                <c:pt idx="11">
                  <c:v>0.25000000000000006</c:v>
                </c:pt>
                <c:pt idx="12">
                  <c:v>0.27272727272727276</c:v>
                </c:pt>
                <c:pt idx="13">
                  <c:v>0.29545454545454547</c:v>
                </c:pt>
                <c:pt idx="14">
                  <c:v>0.3181818181818182</c:v>
                </c:pt>
                <c:pt idx="15">
                  <c:v>0.3409090909090909</c:v>
                </c:pt>
                <c:pt idx="16">
                  <c:v>0.3636363636363636</c:v>
                </c:pt>
                <c:pt idx="17">
                  <c:v>0.3863636363636363</c:v>
                </c:pt>
                <c:pt idx="18">
                  <c:v>0.409090909090909</c:v>
                </c:pt>
                <c:pt idx="19">
                  <c:v>0.4318181818181817</c:v>
                </c:pt>
                <c:pt idx="20">
                  <c:v>0.4545454545454544</c:v>
                </c:pt>
                <c:pt idx="21">
                  <c:v>0.4772727272727271</c:v>
                </c:pt>
                <c:pt idx="22">
                  <c:v>0.49999999999999983</c:v>
                </c:pt>
                <c:pt idx="23">
                  <c:v>0.5227272727272726</c:v>
                </c:pt>
                <c:pt idx="24">
                  <c:v>0.5454545454545453</c:v>
                </c:pt>
                <c:pt idx="25">
                  <c:v>0.568181818181818</c:v>
                </c:pt>
                <c:pt idx="26">
                  <c:v>0.5909090909090907</c:v>
                </c:pt>
                <c:pt idx="27">
                  <c:v>0.6136363636363634</c:v>
                </c:pt>
                <c:pt idx="28">
                  <c:v>0.6363636363636361</c:v>
                </c:pt>
                <c:pt idx="29">
                  <c:v>0.6590909090909088</c:v>
                </c:pt>
                <c:pt idx="30">
                  <c:v>0.6818181818181815</c:v>
                </c:pt>
                <c:pt idx="31">
                  <c:v>0.7045454545454543</c:v>
                </c:pt>
                <c:pt idx="32">
                  <c:v>0.727272727272727</c:v>
                </c:pt>
                <c:pt idx="33">
                  <c:v>0.7499999999999997</c:v>
                </c:pt>
                <c:pt idx="34">
                  <c:v>0.7727272727272724</c:v>
                </c:pt>
                <c:pt idx="35">
                  <c:v>0.7954545454545451</c:v>
                </c:pt>
                <c:pt idx="36">
                  <c:v>0.8181818181818178</c:v>
                </c:pt>
                <c:pt idx="37">
                  <c:v>0.8409090909090905</c:v>
                </c:pt>
                <c:pt idx="38">
                  <c:v>0.8636363636363632</c:v>
                </c:pt>
                <c:pt idx="39">
                  <c:v>0.8863636363636359</c:v>
                </c:pt>
                <c:pt idx="40">
                  <c:v>0.9090909090909086</c:v>
                </c:pt>
                <c:pt idx="41">
                  <c:v>0.9318181818181813</c:v>
                </c:pt>
                <c:pt idx="42">
                  <c:v>0.954545454545454</c:v>
                </c:pt>
                <c:pt idx="43">
                  <c:v>0.9772727272727267</c:v>
                </c:pt>
                <c:pt idx="44">
                  <c:v>0.9999999999999994</c:v>
                </c:pt>
              </c:numCache>
            </c:numRef>
          </c:xVal>
          <c:yVal>
            <c:numRef>
              <c:f>Calculations!$AX$12:$AX$56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axId val="23778603"/>
        <c:axId val="12680836"/>
      </c:scatterChart>
      <c:valAx>
        <c:axId val="23778603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80836"/>
        <c:crosses val="autoZero"/>
        <c:crossBetween val="midCat"/>
        <c:dispUnits/>
      </c:valAx>
      <c:valAx>
        <c:axId val="12680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786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875"/>
          <c:y val="0.0135"/>
          <c:w val="0.36775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38100</xdr:rowOff>
    </xdr:from>
    <xdr:to>
      <xdr:col>7</xdr:col>
      <xdr:colOff>600075</xdr:colOff>
      <xdr:row>16</xdr:row>
      <xdr:rowOff>152400</xdr:rowOff>
    </xdr:to>
    <xdr:graphicFrame>
      <xdr:nvGraphicFramePr>
        <xdr:cNvPr id="1" name="Grafiek 2"/>
        <xdr:cNvGraphicFramePr/>
      </xdr:nvGraphicFramePr>
      <xdr:xfrm>
        <a:off x="1524000" y="238125"/>
        <a:ext cx="3590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17</xdr:row>
      <xdr:rowOff>38100</xdr:rowOff>
    </xdr:from>
    <xdr:to>
      <xdr:col>7</xdr:col>
      <xdr:colOff>581025</xdr:colOff>
      <xdr:row>30</xdr:row>
      <xdr:rowOff>142875</xdr:rowOff>
    </xdr:to>
    <xdr:graphicFrame>
      <xdr:nvGraphicFramePr>
        <xdr:cNvPr id="2" name="Grafiek 3"/>
        <xdr:cNvGraphicFramePr/>
      </xdr:nvGraphicFramePr>
      <xdr:xfrm>
        <a:off x="1524000" y="2828925"/>
        <a:ext cx="357187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1</xdr:row>
      <xdr:rowOff>47625</xdr:rowOff>
    </xdr:from>
    <xdr:to>
      <xdr:col>13</xdr:col>
      <xdr:colOff>581025</xdr:colOff>
      <xdr:row>16</xdr:row>
      <xdr:rowOff>152400</xdr:rowOff>
    </xdr:to>
    <xdr:graphicFrame>
      <xdr:nvGraphicFramePr>
        <xdr:cNvPr id="3" name="Grafiek 4"/>
        <xdr:cNvGraphicFramePr/>
      </xdr:nvGraphicFramePr>
      <xdr:xfrm>
        <a:off x="5172075" y="247650"/>
        <a:ext cx="358140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47625</xdr:colOff>
      <xdr:row>17</xdr:row>
      <xdr:rowOff>38100</xdr:rowOff>
    </xdr:from>
    <xdr:to>
      <xdr:col>13</xdr:col>
      <xdr:colOff>581025</xdr:colOff>
      <xdr:row>30</xdr:row>
      <xdr:rowOff>152400</xdr:rowOff>
    </xdr:to>
    <xdr:graphicFrame>
      <xdr:nvGraphicFramePr>
        <xdr:cNvPr id="4" name="Grafiek 5"/>
        <xdr:cNvGraphicFramePr/>
      </xdr:nvGraphicFramePr>
      <xdr:xfrm>
        <a:off x="5172075" y="2828925"/>
        <a:ext cx="358140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10" zoomScaleNormal="110" zoomScalePageLayoutView="0" workbookViewId="0" topLeftCell="A1">
      <selection activeCell="B3" sqref="B3"/>
    </sheetView>
  </sheetViews>
  <sheetFormatPr defaultColWidth="9.140625" defaultRowHeight="12.75"/>
  <cols>
    <col min="1" max="1" width="11.7109375" style="4" bestFit="1" customWidth="1"/>
    <col min="2" max="2" width="10.28125" style="4" customWidth="1"/>
    <col min="3" max="16384" width="9.140625" style="4" customWidth="1"/>
  </cols>
  <sheetData>
    <row r="1" spans="1:5" s="15" customFormat="1" ht="15.75">
      <c r="A1" s="14" t="str">
        <f>IF(B8=1,"Ice-sheet model Antarctica",IF(B8=2,"Ice-sheet model Greenland",IF(B8=3,"Ice-sheet model Svalbard 79N",IF(B8=4,"Ice-sheet model Svalbard 76N",IF(B8=5,"Ice-sheet model Svalbard 19E","Ice-sheet model")))))</f>
        <v>Ice-sheet model Svalbard 79N</v>
      </c>
      <c r="E1" s="3" t="s">
        <v>84</v>
      </c>
    </row>
    <row r="3" spans="1:2" ht="12.75">
      <c r="A3" s="26" t="s">
        <v>31</v>
      </c>
      <c r="B3" s="12">
        <v>0</v>
      </c>
    </row>
    <row r="4" spans="1:2" ht="12.75">
      <c r="A4" s="27" t="s">
        <v>32</v>
      </c>
      <c r="B4" s="13">
        <v>0</v>
      </c>
    </row>
    <row r="5" spans="1:2" ht="12.75">
      <c r="A5" s="6"/>
      <c r="B5" s="6"/>
    </row>
    <row r="6" spans="1:2" ht="12.75">
      <c r="A6" s="21" t="s">
        <v>55</v>
      </c>
      <c r="B6" s="9">
        <v>1</v>
      </c>
    </row>
    <row r="7" spans="1:2" ht="12.75">
      <c r="A7" s="22" t="s">
        <v>40</v>
      </c>
      <c r="B7" s="10">
        <v>1</v>
      </c>
    </row>
    <row r="8" spans="1:2" ht="12.75">
      <c r="A8" s="22" t="s">
        <v>60</v>
      </c>
      <c r="B8" s="10">
        <v>3</v>
      </c>
    </row>
    <row r="9" spans="1:2" ht="12.75">
      <c r="A9" s="22" t="s">
        <v>45</v>
      </c>
      <c r="B9" s="10">
        <v>1</v>
      </c>
    </row>
    <row r="10" spans="1:2" ht="12.75">
      <c r="A10" s="23" t="s">
        <v>48</v>
      </c>
      <c r="B10" s="11">
        <v>1</v>
      </c>
    </row>
    <row r="12" spans="1:2" ht="12.75">
      <c r="A12" s="7" t="s">
        <v>30</v>
      </c>
      <c r="B12" s="16">
        <f>Calculations!V7*Calculations!L7</f>
        <v>21.46380763555395</v>
      </c>
    </row>
    <row r="13" spans="1:2" ht="12.75">
      <c r="A13" s="17" t="s">
        <v>46</v>
      </c>
      <c r="B13" s="18">
        <f>Calculations!X7</f>
        <v>0.0005801029090690257</v>
      </c>
    </row>
    <row r="14" spans="1:2" ht="12.75">
      <c r="A14" s="5" t="s">
        <v>79</v>
      </c>
      <c r="B14" s="8">
        <f>SUM(Calculations!BG12:BG56)*Calculations!I4/1000</f>
        <v>1671.648</v>
      </c>
    </row>
    <row r="15" spans="1:3" ht="12.75">
      <c r="A15" s="28">
        <f>Calculations!I5</f>
        <v>10</v>
      </c>
      <c r="B15" s="28">
        <f>IF(B3=1,A15+C15,0)</f>
        <v>0</v>
      </c>
      <c r="C15" s="28">
        <f>B15</f>
        <v>0</v>
      </c>
    </row>
    <row r="16" spans="1:2" ht="12.75">
      <c r="A16" s="7" t="s">
        <v>80</v>
      </c>
      <c r="B16" s="25">
        <f>Calculations!R6</f>
        <v>-133</v>
      </c>
    </row>
    <row r="17" spans="1:2" ht="12.75">
      <c r="A17" s="5" t="s">
        <v>81</v>
      </c>
      <c r="B17" s="24">
        <f>B15</f>
        <v>0</v>
      </c>
    </row>
    <row r="32" spans="1:5" ht="12.75">
      <c r="A32" s="29" t="s">
        <v>82</v>
      </c>
      <c r="E32" s="29" t="s">
        <v>83</v>
      </c>
    </row>
  </sheetData>
  <sheetProtection/>
  <dataValidations count="9">
    <dataValidation type="whole" allowBlank="1" showInputMessage="1" showErrorMessage="1" promptTitle="model run" prompt="1 = run the model&#10;2 = start model from observations&#10;0 = initialize model" errorTitle="foutieve input" error="Foutieve input: 0 of 1!" sqref="B3">
      <formula1>0</formula1>
      <formula2>2</formula2>
    </dataValidation>
    <dataValidation type="decimal" allowBlank="1" showInputMessage="1" showErrorMessage="1" promptTitle="Temperature" prompt="Give background temperature forcing (-15, 25)" errorTitle="Foutieve input" error="Foutieve input: tussen -15 en +25" sqref="B4">
      <formula1>-15</formula1>
      <formula2>25</formula2>
    </dataValidation>
    <dataValidation type="whole" allowBlank="1" showInputMessage="1" showErrorMessage="1" promptTitle="Sea level" prompt="1 = Sea-level variations taken into account&#10;0 = no sea-level variations" errorTitle="Foutieve input" error="Foutieve input: 0 of 1!" sqref="B10">
      <formula1>0</formula1>
      <formula2>1</formula2>
    </dataValidation>
    <dataValidation type="whole" operator="equal" allowBlank="1" showInputMessage="1" showErrorMessage="1" errorTitle="Foutieve keuze" error="Deze cel kan niet veranderd worden" sqref="E2:E31 B1:B2 H1:I47 K1:R47 J1:J2 J7:J47 G2:G47 B5 A7:A9 A32:E33 C1:C11 A34:A47 B34:B36 A11:B11 B39:B47 D34:D47 A16:A17 D1:E1 F1:F47 A18:A31 E34:E47 A3:A5 A15 A2 A13:A14 A12 D2:D31 B18:B31 C18:C31 C34:C47 C12:C17 B14:B17">
      <formula1>-9999</formula1>
    </dataValidation>
    <dataValidation type="whole" operator="equal" allowBlank="1" showInputMessage="1" showErrorMessage="1" errorTitle="Fautieve keuze" error="Deze cel kan niet veranderd worden" sqref="A10">
      <formula1>-9999</formula1>
    </dataValidation>
    <dataValidation type="whole" allowBlank="1" showInputMessage="1" showErrorMessage="1" promptTitle="Ice-temperature coupling" prompt="0 = isotherm ice sheet&#10;1 = ice deformation as a function of temperature" errorTitle="Foutieve input" error="Foutieve input: 0 of 1!" sqref="B7">
      <formula1>0</formula1>
      <formula2>1</formula2>
    </dataValidation>
    <dataValidation type="whole" allowBlank="1" showInputMessage="1" showErrorMessage="1" promptTitle="Topography" prompt="1 = Antarctica&#10;2 = Greenland&#10;3 = Svalbard 79N&#10;4 = Svalbard 76N&#10;5 = NS profile 19E&#10;0 = horizontal bedrock" errorTitle="Foutieve input" error="Foutieve input: 0 of 1!" sqref="B8">
      <formula1>0</formula1>
      <formula2>5</formula2>
    </dataValidation>
    <dataValidation type="whole" allowBlank="1" showInputMessage="1" showErrorMessage="1" promptTitle="Isostasy" prompt="1 = isostatic adjustement due to ice load&#10;0 = no isostacy" errorTitle="Foutieve input" error="Foutieve input: 0 of 1!" sqref="B9">
      <formula1>0</formula1>
      <formula2>1</formula2>
    </dataValidation>
    <dataValidation type="whole" allowBlank="1" showInputMessage="1" showErrorMessage="1" promptTitle="Basal sliding" prompt="0 = no sliding&#10;1 = basal sliding" errorTitle="Foutieve input" error="Foutieve input: 0 of 1!" sqref="B6">
      <formula1>0</formula1>
      <formula2>1</formula2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G57"/>
  <sheetViews>
    <sheetView zoomScalePageLayoutView="0" workbookViewId="0" topLeftCell="H13">
      <selection activeCell="M43" sqref="M43"/>
    </sheetView>
  </sheetViews>
  <sheetFormatPr defaultColWidth="9.140625" defaultRowHeight="12.75"/>
  <cols>
    <col min="11" max="11" width="16.140625" style="0" customWidth="1"/>
    <col min="13" max="13" width="10.7109375" style="0" bestFit="1" customWidth="1"/>
    <col min="15" max="15" width="10.00390625" style="0" customWidth="1"/>
    <col min="16" max="16" width="9.57421875" style="0" bestFit="1" customWidth="1"/>
    <col min="19" max="20" width="9.57421875" style="0" bestFit="1" customWidth="1"/>
    <col min="33" max="33" width="11.421875" style="0" customWidth="1"/>
    <col min="51" max="51" width="13.140625" style="0" bestFit="1" customWidth="1"/>
    <col min="53" max="53" width="12.421875" style="0" bestFit="1" customWidth="1"/>
  </cols>
  <sheetData>
    <row r="2" spans="2:17" ht="20.25">
      <c r="B2" s="30" t="s">
        <v>89</v>
      </c>
      <c r="Q2">
        <f>IF(I6=0,100,IF(I6=1,99.5716825,IF(I6=2,54.5237648,(SUM(Y13:Y55)-SUM(Z13:Z55))/1000)))</f>
        <v>74.12477911722299</v>
      </c>
    </row>
    <row r="4" spans="2:28" ht="12.75">
      <c r="B4" s="33" t="s">
        <v>0</v>
      </c>
      <c r="C4" s="25">
        <v>917</v>
      </c>
      <c r="D4" s="31"/>
      <c r="E4" s="33" t="s">
        <v>39</v>
      </c>
      <c r="F4" s="25">
        <f>F7*0.139533635992*EXP(0.49836/POWER((280-F5),1.17)-9478/F5)</f>
        <v>1.911106646064752E-15</v>
      </c>
      <c r="H4" s="33" t="s">
        <v>3</v>
      </c>
      <c r="I4" s="25">
        <f>IF(I6=1,120000,IF(I6=2,36000,IF(I6=3,37992,IF(I6=4,36364,IF(I6=5,36938,100000)))))</f>
        <v>37992</v>
      </c>
      <c r="K4" s="33" t="s">
        <v>16</v>
      </c>
      <c r="L4" s="25">
        <f>Model!B3</f>
        <v>0</v>
      </c>
      <c r="Q4" s="33" t="s">
        <v>51</v>
      </c>
      <c r="R4" s="25">
        <f>IF(AND(R7=1,I6=0),L6*15,IF(AND(R7=1,I6=1),L6*15,IF(AND(R7=1,I6=2),L6*15,IF(AND(R7=1,I6=3),L6*15-133,IF(AND(R7=1,I6=4),L6*15-133,IF(AND(R7=1,I6=5),L6*15-133,0))))))</f>
        <v>-133</v>
      </c>
      <c r="T4" s="33" t="s">
        <v>53</v>
      </c>
      <c r="U4" s="25">
        <f>Model!B6</f>
        <v>1</v>
      </c>
      <c r="W4" s="39" t="s">
        <v>61</v>
      </c>
      <c r="X4" s="43">
        <f>IF(L6&gt;0,0,L6)</f>
        <v>0</v>
      </c>
      <c r="Z4" s="19" t="s">
        <v>62</v>
      </c>
      <c r="AA4" s="19" t="s">
        <v>63</v>
      </c>
      <c r="AB4" s="19" t="s">
        <v>64</v>
      </c>
    </row>
    <row r="5" spans="2:28" ht="12.75">
      <c r="B5" s="34" t="s">
        <v>1</v>
      </c>
      <c r="C5" s="35">
        <v>9.81</v>
      </c>
      <c r="D5" s="31"/>
      <c r="E5" s="34" t="s">
        <v>38</v>
      </c>
      <c r="F5" s="35">
        <f>IF(L6&lt;0,L6+273.15-10,L6/2+273.15-10)</f>
        <v>263.15</v>
      </c>
      <c r="H5" s="34" t="s">
        <v>4</v>
      </c>
      <c r="I5" s="35">
        <f>IF(OR(I6=0,I6=1),200,IF(I6=2,10,IF(I6=3,10,10)))</f>
        <v>10</v>
      </c>
      <c r="K5" s="34" t="s">
        <v>24</v>
      </c>
      <c r="L5" s="35">
        <f>IF(OR(I6=1,I6=0,I6=3,I6=5),2.5,IF(I6=2,2.5,IF(I6=4,1,1)))</f>
        <v>2.5</v>
      </c>
      <c r="N5" s="33" t="s">
        <v>65</v>
      </c>
      <c r="O5" s="25">
        <v>3300</v>
      </c>
      <c r="Q5" s="34" t="s">
        <v>50</v>
      </c>
      <c r="R5" s="35">
        <f>IF(R4&gt;0,0,R4)</f>
        <v>-133</v>
      </c>
      <c r="T5" s="37" t="s">
        <v>54</v>
      </c>
      <c r="U5" s="38">
        <f>C6*500000</f>
        <v>9.555533230323759E-10</v>
      </c>
      <c r="Z5" s="20">
        <f>I5</f>
        <v>10</v>
      </c>
      <c r="AA5" s="20">
        <f>IF(L4=1,AB5+Z5,0)</f>
        <v>0</v>
      </c>
      <c r="AB5" s="20">
        <f>AA5</f>
        <v>0</v>
      </c>
    </row>
    <row r="6" spans="2:24" ht="12.75">
      <c r="B6" s="34" t="s">
        <v>2</v>
      </c>
      <c r="C6" s="36">
        <f>IF(C7=0,F6,F4)</f>
        <v>1.911106646064752E-15</v>
      </c>
      <c r="D6" s="32"/>
      <c r="E6" s="34" t="s">
        <v>37</v>
      </c>
      <c r="F6" s="36">
        <f>IF(OR(I6=1,I6=0),0.0000000000000019,0.000000000000000243)</f>
        <v>2.43E-16</v>
      </c>
      <c r="H6" s="34" t="s">
        <v>34</v>
      </c>
      <c r="I6" s="35">
        <f>Model!B8</f>
        <v>3</v>
      </c>
      <c r="K6" s="34" t="s">
        <v>27</v>
      </c>
      <c r="L6" s="35">
        <f>Model!B4</f>
        <v>0</v>
      </c>
      <c r="N6" s="34" t="s">
        <v>44</v>
      </c>
      <c r="O6" s="35">
        <v>3000</v>
      </c>
      <c r="Q6" s="34" t="s">
        <v>47</v>
      </c>
      <c r="R6" s="35">
        <f>IF(R5&lt;-150,-150,R5)</f>
        <v>-133</v>
      </c>
      <c r="T6" s="1"/>
      <c r="W6" s="33" t="s">
        <v>30</v>
      </c>
      <c r="X6" s="42" t="s">
        <v>46</v>
      </c>
    </row>
    <row r="7" spans="2:24" ht="12.75">
      <c r="B7" s="37" t="s">
        <v>35</v>
      </c>
      <c r="C7" s="24">
        <f>Model!B7</f>
        <v>1</v>
      </c>
      <c r="D7" s="31"/>
      <c r="E7" s="37" t="s">
        <v>36</v>
      </c>
      <c r="F7" s="24">
        <f>IF(OR(I6=0,I6=1),59,IF(OR(I6=2,I6=3,I6=4,I6=5),59))</f>
        <v>59</v>
      </c>
      <c r="H7" s="37" t="s">
        <v>10</v>
      </c>
      <c r="I7" s="24">
        <f>0.25*I5/(I4*I4)</f>
        <v>1.7320311385611166E-09</v>
      </c>
      <c r="K7" s="37" t="s">
        <v>30</v>
      </c>
      <c r="L7" s="24">
        <f>SUM(AC13:AC55)/1000</f>
        <v>0.0004300000000000002</v>
      </c>
      <c r="N7" s="37" t="s">
        <v>43</v>
      </c>
      <c r="O7" s="24">
        <f>Model!B9</f>
        <v>1</v>
      </c>
      <c r="Q7" s="37" t="s">
        <v>49</v>
      </c>
      <c r="R7" s="24">
        <f>Model!B10</f>
        <v>1</v>
      </c>
      <c r="T7" s="39" t="s">
        <v>57</v>
      </c>
      <c r="U7" s="40">
        <f>IF(I6=0,100,IF(I6=1,99.5716825,IF(I6=2,54.5237648,(SUM(Y13:Y55)-SUM(Z13:Z55))/1000)))</f>
        <v>74.12477911722299</v>
      </c>
      <c r="V7" s="72">
        <f>IF(OR(I6=0,I6=1),30000000/U7,IF(I6=2,2600000/U7,3700000/U7))</f>
        <v>49915.83171059056</v>
      </c>
      <c r="W7" s="41">
        <f>V7*U7</f>
        <v>3700000</v>
      </c>
      <c r="X7" s="71">
        <f>IF(U7=0,0,L7/U7*100)</f>
        <v>0.0005801029090690257</v>
      </c>
    </row>
    <row r="8" spans="4:24" ht="12.75">
      <c r="D8" s="1"/>
      <c r="K8" s="46" t="s">
        <v>88</v>
      </c>
      <c r="L8">
        <f>L6*1000/5.1</f>
        <v>0</v>
      </c>
      <c r="X8" s="70"/>
    </row>
    <row r="9" ht="12.75">
      <c r="D9" s="1"/>
    </row>
    <row r="10" spans="2:57" ht="12.75">
      <c r="B10" s="33" t="s">
        <v>66</v>
      </c>
      <c r="C10" s="44"/>
      <c r="D10" s="45"/>
      <c r="E10" s="25"/>
      <c r="G10" s="33" t="s">
        <v>67</v>
      </c>
      <c r="H10" s="44"/>
      <c r="I10" s="25"/>
      <c r="K10" s="33" t="s">
        <v>85</v>
      </c>
      <c r="L10" s="44"/>
      <c r="M10" s="25"/>
      <c r="O10" s="33" t="s">
        <v>86</v>
      </c>
      <c r="P10" s="44"/>
      <c r="Q10" s="25"/>
      <c r="S10" s="33" t="s">
        <v>87</v>
      </c>
      <c r="T10" s="44"/>
      <c r="U10" s="25"/>
      <c r="W10" s="33" t="s">
        <v>73</v>
      </c>
      <c r="X10" s="44"/>
      <c r="Y10" s="44"/>
      <c r="Z10" s="44"/>
      <c r="AA10" s="25"/>
      <c r="AB10" s="31"/>
      <c r="AC10" s="33" t="s">
        <v>75</v>
      </c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25"/>
      <c r="AT10" s="33" t="s">
        <v>76</v>
      </c>
      <c r="AU10" s="42"/>
      <c r="AW10" s="33" t="s">
        <v>77</v>
      </c>
      <c r="AX10" s="45"/>
      <c r="AY10" s="45"/>
      <c r="AZ10" s="45"/>
      <c r="BA10" s="42"/>
      <c r="BC10" s="33" t="s">
        <v>78</v>
      </c>
      <c r="BD10" s="45"/>
      <c r="BE10" s="42"/>
    </row>
    <row r="11" spans="2:59" s="1" customFormat="1" ht="12.75">
      <c r="B11" s="34" t="s">
        <v>58</v>
      </c>
      <c r="C11" s="46" t="s">
        <v>68</v>
      </c>
      <c r="D11" s="46" t="s">
        <v>69</v>
      </c>
      <c r="E11" s="47" t="s">
        <v>70</v>
      </c>
      <c r="G11" s="34" t="s">
        <v>68</v>
      </c>
      <c r="H11" s="46" t="s">
        <v>69</v>
      </c>
      <c r="I11" s="47" t="s">
        <v>71</v>
      </c>
      <c r="K11" s="34" t="s">
        <v>68</v>
      </c>
      <c r="L11" s="46" t="s">
        <v>69</v>
      </c>
      <c r="M11" s="47" t="s">
        <v>71</v>
      </c>
      <c r="O11" s="34" t="s">
        <v>68</v>
      </c>
      <c r="P11" s="46" t="s">
        <v>69</v>
      </c>
      <c r="Q11" s="47" t="s">
        <v>71</v>
      </c>
      <c r="S11" s="34" t="s">
        <v>68</v>
      </c>
      <c r="T11" s="46" t="s">
        <v>69</v>
      </c>
      <c r="U11" s="47" t="s">
        <v>70</v>
      </c>
      <c r="W11" s="34" t="s">
        <v>20</v>
      </c>
      <c r="X11" s="46" t="s">
        <v>72</v>
      </c>
      <c r="Y11" s="46" t="s">
        <v>69</v>
      </c>
      <c r="Z11" s="46" t="s">
        <v>68</v>
      </c>
      <c r="AA11" s="47" t="s">
        <v>74</v>
      </c>
      <c r="AB11" s="54"/>
      <c r="AC11" s="34" t="s">
        <v>5</v>
      </c>
      <c r="AD11" s="46" t="s">
        <v>25</v>
      </c>
      <c r="AE11" s="46" t="s">
        <v>7</v>
      </c>
      <c r="AF11" s="46" t="s">
        <v>52</v>
      </c>
      <c r="AG11" s="46" t="s">
        <v>8</v>
      </c>
      <c r="AH11" s="46" t="s">
        <v>21</v>
      </c>
      <c r="AI11" s="46" t="s">
        <v>22</v>
      </c>
      <c r="AJ11" s="46" t="s">
        <v>23</v>
      </c>
      <c r="AK11" s="46" t="s">
        <v>13</v>
      </c>
      <c r="AL11" s="46" t="s">
        <v>9</v>
      </c>
      <c r="AM11" s="46" t="s">
        <v>11</v>
      </c>
      <c r="AN11" s="46" t="s">
        <v>12</v>
      </c>
      <c r="AO11" s="46" t="s">
        <v>14</v>
      </c>
      <c r="AP11" s="46" t="s">
        <v>1</v>
      </c>
      <c r="AQ11" s="46" t="s">
        <v>15</v>
      </c>
      <c r="AR11" s="47" t="s">
        <v>18</v>
      </c>
      <c r="AT11" s="34" t="s">
        <v>19</v>
      </c>
      <c r="AU11" s="47" t="s">
        <v>56</v>
      </c>
      <c r="AW11" s="34" t="s">
        <v>26</v>
      </c>
      <c r="AX11" s="46" t="s">
        <v>28</v>
      </c>
      <c r="AY11" s="46" t="s">
        <v>29</v>
      </c>
      <c r="AZ11" s="46" t="s">
        <v>33</v>
      </c>
      <c r="BA11" s="47" t="s">
        <v>17</v>
      </c>
      <c r="BC11" s="34" t="s">
        <v>6</v>
      </c>
      <c r="BD11" s="46" t="s">
        <v>41</v>
      </c>
      <c r="BE11" s="47" t="s">
        <v>42</v>
      </c>
      <c r="BG11" s="69" t="s">
        <v>59</v>
      </c>
    </row>
    <row r="12" spans="2:59" ht="12.75">
      <c r="B12" s="48">
        <v>0</v>
      </c>
      <c r="C12" s="2">
        <v>0</v>
      </c>
      <c r="D12" s="2">
        <v>0</v>
      </c>
      <c r="E12" s="49">
        <v>70</v>
      </c>
      <c r="G12" s="48">
        <v>-2230.77</v>
      </c>
      <c r="H12" s="50">
        <v>-2230.77</v>
      </c>
      <c r="I12" s="49">
        <f aca="true" t="shared" si="0" ref="I12:I56">60-35/0.6*(B12-0.2)</f>
        <v>71.66666666666667</v>
      </c>
      <c r="K12" s="74">
        <v>-310.72952343</v>
      </c>
      <c r="L12">
        <v>4.49215527344</v>
      </c>
      <c r="M12" s="49">
        <v>8.3</v>
      </c>
      <c r="O12" s="74">
        <v>-311.90330791486</v>
      </c>
      <c r="P12" s="76">
        <v>5.67750263214</v>
      </c>
      <c r="Q12" s="49">
        <v>15</v>
      </c>
      <c r="S12" s="74">
        <v>607.738291504</v>
      </c>
      <c r="T12" s="76">
        <v>775.52602002</v>
      </c>
      <c r="U12" s="49">
        <v>66.4</v>
      </c>
      <c r="W12" s="48">
        <f>X12/1000</f>
        <v>0</v>
      </c>
      <c r="X12" s="50">
        <v>0</v>
      </c>
      <c r="Y12" s="50">
        <f>IF($I$6=1,D12,IF($I$6=2,H12,IF($I$6=3,L12,IF($I$6=4,P12,IF($I$6=5,T12)))))</f>
        <v>4.49215527344</v>
      </c>
      <c r="Z12" s="50">
        <f>IF($I$6=1,C12,IF($I$6=2,G12,IF($I$6=3,K12,IF($I$6=4,O12,IF($I$6=5,S12,0)))))</f>
        <v>-310.72952343</v>
      </c>
      <c r="AA12" s="55">
        <f aca="true" t="shared" si="1" ref="AA12:AA56">IF(OR($L$4=0,$L$4=1),0.01,Y12-Z12)</f>
        <v>0.01</v>
      </c>
      <c r="AB12" s="2"/>
      <c r="AC12" s="48">
        <v>0</v>
      </c>
      <c r="AD12" s="50">
        <f aca="true" t="shared" si="2" ref="AD12:AD56">AC12+BC12</f>
        <v>-223.13610543877135</v>
      </c>
      <c r="AE12" s="50">
        <v>0</v>
      </c>
      <c r="AF12" s="57">
        <f aca="true" t="shared" si="3" ref="AF12:AF56">IF($U$4=1,$U$5*$C$4*$C$4*$C$4*$C$5*$C$5*$C$5*AC12*AC12*AC12*AC12*AE12*AE12/(AC12+0.01+1028*(BC12-$R$6)/$C$4),0)</f>
        <v>0</v>
      </c>
      <c r="AG12" s="57">
        <f aca="true" t="shared" si="4" ref="AG12:AG56">-2*$C$6*AC12*AC12*AC12*AC12*AC12*$C$4*$C$4*$C$4*$C$5*$C$5*$C$5*AE12*AE12/5-AF12</f>
        <v>0</v>
      </c>
      <c r="AH12" s="58"/>
      <c r="AI12" s="58"/>
      <c r="AJ12" s="58"/>
      <c r="AK12" s="58"/>
      <c r="AL12" s="58"/>
      <c r="AM12" s="58"/>
      <c r="AN12" s="58"/>
      <c r="AO12" s="58"/>
      <c r="AP12" s="58"/>
      <c r="AQ12" s="58">
        <v>0</v>
      </c>
      <c r="AR12" s="49">
        <f aca="true" t="shared" si="5" ref="AR12:AR56">IF(OR(AQ12&lt;0,AND(B12&lt;0.15,$I$6=2)),0,AQ12)</f>
        <v>0</v>
      </c>
      <c r="AT12" s="61">
        <f aca="true" t="shared" si="6" ref="AT12:AT56">IF(AC12=0,0,ABS(AG12*AE12/AC12))</f>
        <v>0</v>
      </c>
      <c r="AU12" s="62">
        <f>IF(AC12=0,0,ABS(AF12*AE12))</f>
        <v>0</v>
      </c>
      <c r="AW12" s="48">
        <f>IF(OR($I$6=1,$I$6=0),-15-0.012*AD12+$L$6,IF(I6=2,-5.31-0.007992*AD12+$L$6,0))</f>
        <v>0</v>
      </c>
      <c r="AX12" s="50">
        <f>IF(OR($I$6=1,$I$6=0),16.81-0.00692*AD12-0.27937*E12+$L$6,IF(I6=2,7.2936-0.006277*AD12+$L$6,0))</f>
        <v>0</v>
      </c>
      <c r="AY12" s="50">
        <f aca="true" t="shared" si="7" ref="AY12:AY56">IF(OR($I$6=3,$I$6=4,$I$6=5),IF(AD12-$L$8&gt;0,-2.849*EXP(-0.0000085345*(AD12-$L$8)^2),-2.849),IF(AX12&lt;0,0,MAX(-AX12*1.4,-10)))</f>
        <v>-2.849</v>
      </c>
      <c r="AZ12" s="50">
        <f aca="true" t="shared" si="8" ref="AZ12:AZ56">IF(OR($I$6=0,$I$6=1),2.5*EXP((AW12/10)*LN(2)),IF($I$6=2,(-2.46257+0.1367*I12-0.0016*I12*I12)*POWER(1.0533,$X$4),IF(AD12-$L$8&gt;0,0.8378*EXP(-0.000000030453*(AD12-$L$8)^2),0.8378)))</f>
        <v>0.8378</v>
      </c>
      <c r="BA12" s="49">
        <f aca="true" t="shared" si="9" ref="BA12:BA56">AY12+AZ12</f>
        <v>-2.0112</v>
      </c>
      <c r="BC12" s="65">
        <f aca="true" t="shared" si="10" ref="BC12:BC56">IF(AND($O$7=1,$L$4=1),BE12,IF(AND($L$4=0,$O$7=1),BD12,Z12))</f>
        <v>-223.13610543877135</v>
      </c>
      <c r="BD12" s="50">
        <f aca="true" t="shared" si="11" ref="BD12:BD56">Z12+$C$4*(Y12-Z12)/$O$5</f>
        <v>-223.13610543877135</v>
      </c>
      <c r="BE12" s="49">
        <f>Z12</f>
        <v>-310.72952343</v>
      </c>
      <c r="BG12" s="67">
        <f>IF(AC12=0,0,1)</f>
        <v>0</v>
      </c>
    </row>
    <row r="13" spans="2:59" ht="12.75">
      <c r="B13" s="48">
        <f aca="true" t="shared" si="12" ref="B13:B56">B12+$I$4/$X$56</f>
        <v>0.022727272727272728</v>
      </c>
      <c r="C13" s="2">
        <v>-50</v>
      </c>
      <c r="D13" s="2">
        <v>1400</v>
      </c>
      <c r="E13" s="49">
        <f>E12+0.8</f>
        <v>70.8</v>
      </c>
      <c r="G13" s="48">
        <v>-2292.63</v>
      </c>
      <c r="H13" s="50">
        <v>-2292.63</v>
      </c>
      <c r="I13" s="49">
        <f t="shared" si="0"/>
        <v>70.3409090909091</v>
      </c>
      <c r="K13" s="74">
        <v>-31.904982911</v>
      </c>
      <c r="L13">
        <v>611.674483398</v>
      </c>
      <c r="M13" s="49">
        <f>M12+(87-8.3)/44</f>
        <v>10.088636363636365</v>
      </c>
      <c r="O13" s="74">
        <v>-295.194663086</v>
      </c>
      <c r="P13" s="76">
        <v>449.275275879</v>
      </c>
      <c r="Q13" s="49">
        <v>16.4</v>
      </c>
      <c r="S13" s="74">
        <v>463.573319091</v>
      </c>
      <c r="T13" s="76">
        <v>1259.00850537</v>
      </c>
      <c r="U13" s="49">
        <v>66.7</v>
      </c>
      <c r="W13" s="48">
        <f aca="true" t="shared" si="13" ref="W13:W52">X13/1000</f>
        <v>37.992</v>
      </c>
      <c r="X13" s="50">
        <f>X12+$I$4</f>
        <v>37992</v>
      </c>
      <c r="Y13" s="50">
        <f aca="true" t="shared" si="14" ref="Y13:Y56">IF($I$6=1,D13,IF($I$6=2,H13,IF($I$6=3,L13,IF($I$6=4,P13,IF($I$6=5,T13)))))</f>
        <v>611.674483398</v>
      </c>
      <c r="Z13" s="50">
        <f aca="true" t="shared" si="15" ref="Z13:Z56">IF($I$6=1,C13,IF($I$6=2,G13,IF($I$6=3,K13,IF($I$6=4,O13,IF($I$6=5,S13,0)))))</f>
        <v>-31.904982911</v>
      </c>
      <c r="AA13" s="55">
        <f t="shared" si="1"/>
        <v>0.01</v>
      </c>
      <c r="AB13" s="2"/>
      <c r="AC13" s="48">
        <f aca="true" t="shared" si="16" ref="AC13:AC56">IF($L$4=1,AR13,AA13)</f>
        <v>0.01</v>
      </c>
      <c r="AD13" s="50">
        <f t="shared" si="2"/>
        <v>146.94209909062212</v>
      </c>
      <c r="AE13" s="50">
        <f aca="true" t="shared" si="17" ref="AE13:AE55">(AC14+BC14-AC12-BC12)/(2*$I$4)</f>
        <v>0.007448518168811916</v>
      </c>
      <c r="AF13" s="57">
        <f t="shared" si="3"/>
        <v>1.229718090821755E-12</v>
      </c>
      <c r="AG13" s="57">
        <f t="shared" si="4"/>
        <v>-1.2297211782701418E-12</v>
      </c>
      <c r="AH13" s="57">
        <f>-$I$7*(AG13+AG12)</f>
        <v>2.1299153725119517E-21</v>
      </c>
      <c r="AI13" s="57">
        <f>-$I$7*(AG14+2*AG13+AG12)</f>
        <v>5.825869074014788E-21</v>
      </c>
      <c r="AJ13" s="57">
        <f>-$I$7*(AG13+AG14)</f>
        <v>3.695953701502835E-21</v>
      </c>
      <c r="AK13" s="57">
        <f aca="true" t="shared" si="18" ref="AK13:AK55">AC13+$I$5*BA13+AH13*BC12-AI13*BC13+AJ13*BC14+(1-$L$5)*(AJ13*AC14-(AI13+1)*AC13+AH13*AC12)</f>
        <v>-15.297799359021175</v>
      </c>
      <c r="AL13" s="57">
        <f aca="true" t="shared" si="19" ref="AL13:AL55">$L$5*AH13</f>
        <v>5.324788431279879E-21</v>
      </c>
      <c r="AM13" s="58">
        <f aca="true" t="shared" si="20" ref="AM13:AM55">(AI13+1)*$L$5</f>
        <v>2.5</v>
      </c>
      <c r="AN13" s="57">
        <f aca="true" t="shared" si="21" ref="AN13:AN55">$L$5*AJ13</f>
        <v>9.239884253757089E-21</v>
      </c>
      <c r="AO13" s="57">
        <f>AN13/AM13</f>
        <v>3.695953701502835E-21</v>
      </c>
      <c r="AP13" s="58">
        <f>(AK13+AL13*AC12)/AM13</f>
        <v>-6.11911974360847</v>
      </c>
      <c r="AQ13" s="58">
        <f aca="true" t="shared" si="22" ref="AQ13:AQ30">AO13*AQ14+AP13</f>
        <v>-6.11911974360847</v>
      </c>
      <c r="AR13" s="49">
        <f t="shared" si="5"/>
        <v>0</v>
      </c>
      <c r="AT13" s="61">
        <f t="shared" si="6"/>
        <v>9.15960053891795E-13</v>
      </c>
      <c r="AU13" s="62">
        <f aca="true" t="shared" si="23" ref="AU13:AU56">IF(AC13=0,0,ABS(AF13*AE13/AC13))</f>
        <v>9.159577542002545E-13</v>
      </c>
      <c r="AW13" s="48">
        <f>IF(OR($I$6=1,$I$6=0),-15-0.012*AD13+$L$6,-IF(I6=2,5.31-0.007992*AD13+$L$6,0))</f>
        <v>0</v>
      </c>
      <c r="AX13" s="50">
        <f>IF(OR($I$6=1,$I$6=0),16.81-0.00692*AD13-0.27937*E13+$L$6,IF(I6=2,7.2936-0.006277*AD13+$L$6,0))</f>
        <v>0</v>
      </c>
      <c r="AY13" s="50">
        <f t="shared" si="7"/>
        <v>-2.36952922947851</v>
      </c>
      <c r="AZ13" s="50">
        <f t="shared" si="8"/>
        <v>0.8372492935763926</v>
      </c>
      <c r="BA13" s="49">
        <f t="shared" si="9"/>
        <v>-1.5322799359021175</v>
      </c>
      <c r="BC13" s="65">
        <f t="shared" si="10"/>
        <v>146.93209909062213</v>
      </c>
      <c r="BD13" s="50">
        <f t="shared" si="11"/>
        <v>146.93209909062213</v>
      </c>
      <c r="BE13" s="49">
        <f aca="true" t="shared" si="24" ref="BE13:BE55">-(BC13-BD13+$C$4*AR13/$O$5)*$I$5/$O$6+BC13</f>
        <v>146.93209909062213</v>
      </c>
      <c r="BG13" s="67">
        <f aca="true" t="shared" si="25" ref="BG13:BG56">IF(AC13=0,0,1)</f>
        <v>1</v>
      </c>
    </row>
    <row r="14" spans="2:59" ht="12.75">
      <c r="B14" s="48">
        <f t="shared" si="12"/>
        <v>0.045454545454545456</v>
      </c>
      <c r="C14" s="2">
        <v>-100</v>
      </c>
      <c r="D14" s="2">
        <v>2200</v>
      </c>
      <c r="E14" s="49">
        <f aca="true" t="shared" si="26" ref="E14:E30">E13+0.8</f>
        <v>71.6</v>
      </c>
      <c r="G14" s="48">
        <v>-2250.39</v>
      </c>
      <c r="H14" s="50">
        <v>-2250.39</v>
      </c>
      <c r="I14" s="49">
        <f t="shared" si="0"/>
        <v>69.01515151515152</v>
      </c>
      <c r="K14" s="74">
        <v>114.199832031</v>
      </c>
      <c r="L14">
        <v>936.940814941</v>
      </c>
      <c r="M14" s="49">
        <f aca="true" t="shared" si="27" ref="M14:M56">M13+(87-8.3)/44</f>
        <v>11.877272727272729</v>
      </c>
      <c r="O14" s="74">
        <v>-236.781355957</v>
      </c>
      <c r="P14" s="76">
        <v>718.866629395</v>
      </c>
      <c r="Q14" s="49">
        <v>17.7</v>
      </c>
      <c r="S14" s="74">
        <v>653.685692868</v>
      </c>
      <c r="T14" s="76">
        <v>1633.84506152</v>
      </c>
      <c r="U14" s="49">
        <v>67.1</v>
      </c>
      <c r="W14" s="48">
        <f t="shared" si="13"/>
        <v>75.984</v>
      </c>
      <c r="X14" s="50">
        <f aca="true" t="shared" si="28" ref="X14:X52">X13+$I$4</f>
        <v>75984</v>
      </c>
      <c r="Y14" s="50">
        <f t="shared" si="14"/>
        <v>936.940814941</v>
      </c>
      <c r="Z14" s="50">
        <f t="shared" si="15"/>
        <v>114.199832031</v>
      </c>
      <c r="AA14" s="55">
        <f t="shared" si="1"/>
        <v>0.01</v>
      </c>
      <c r="AB14" s="2"/>
      <c r="AC14" s="48">
        <f t="shared" si="16"/>
        <v>0.01</v>
      </c>
      <c r="AD14" s="50">
        <f t="shared" si="2"/>
        <v>342.83209910023334</v>
      </c>
      <c r="AE14" s="50">
        <f t="shared" si="17"/>
        <v>0.008326831498730633</v>
      </c>
      <c r="AF14" s="57">
        <f t="shared" si="3"/>
        <v>9.041590598852965E-13</v>
      </c>
      <c r="AG14" s="57">
        <f t="shared" si="4"/>
        <v>-9.041629183941053E-13</v>
      </c>
      <c r="AH14" s="57">
        <f aca="true" t="shared" si="29" ref="AH14:AH55">-$I$7*(AG14+AG13)</f>
        <v>3.695953701502835E-21</v>
      </c>
      <c r="AI14" s="57">
        <f aca="true" t="shared" si="30" ref="AI14:AI55">-$I$7*(AG15+2*AG14+AG13)</f>
        <v>5.6685391096526595E-21</v>
      </c>
      <c r="AJ14" s="57">
        <f aca="true" t="shared" si="31" ref="AJ14:AJ55">-$I$7*(AG14+AG15)</f>
        <v>1.9725854081498234E-21</v>
      </c>
      <c r="AK14" s="57">
        <f t="shared" si="18"/>
        <v>-2.0754553016329487</v>
      </c>
      <c r="AL14" s="57">
        <f t="shared" si="19"/>
        <v>9.239884253757089E-21</v>
      </c>
      <c r="AM14" s="58">
        <f t="shared" si="20"/>
        <v>2.5</v>
      </c>
      <c r="AN14" s="57">
        <f t="shared" si="21"/>
        <v>4.9314635203745585E-21</v>
      </c>
      <c r="AO14" s="57">
        <f>AN14/(AM14-AL14*AO13)</f>
        <v>1.9725854081498234E-21</v>
      </c>
      <c r="AP14" s="57">
        <f>(AK14+AL14*AP13)/(AM14-AL14*AO13)</f>
        <v>-0.8301821206531794</v>
      </c>
      <c r="AQ14" s="58">
        <f t="shared" si="22"/>
        <v>-0.8301821206531794</v>
      </c>
      <c r="AR14" s="49">
        <f t="shared" si="5"/>
        <v>0</v>
      </c>
      <c r="AT14" s="61">
        <f t="shared" si="6"/>
        <v>7.52881226886825E-13</v>
      </c>
      <c r="AU14" s="62">
        <f t="shared" si="23"/>
        <v>7.528780139715564E-13</v>
      </c>
      <c r="AW14" s="48">
        <f>IF(OR($I$6=1,$I$6=0),-15-0.012*AD14+$L$6,IF(I6=2,-5.31-0.007992*AD14+$L$6,0))</f>
        <v>0</v>
      </c>
      <c r="AX14" s="50">
        <f>IF(OR($I$6=1,$I$6=0),16.81-0.00692*AD14-0.27937*E14+$L$6,IF(I6=2,7.2936-0.006277*AD14+$L$6,0))</f>
        <v>0</v>
      </c>
      <c r="AY14" s="50">
        <f t="shared" si="7"/>
        <v>-1.0448521877461066</v>
      </c>
      <c r="AZ14" s="50">
        <f t="shared" si="8"/>
        <v>0.8348066575828117</v>
      </c>
      <c r="BA14" s="49">
        <f>AY14+AZ14</f>
        <v>-0.21004553016329486</v>
      </c>
      <c r="BC14" s="65">
        <f t="shared" si="10"/>
        <v>342.82209910023334</v>
      </c>
      <c r="BD14" s="50">
        <f t="shared" si="11"/>
        <v>342.82209910023334</v>
      </c>
      <c r="BE14" s="49">
        <f t="shared" si="24"/>
        <v>342.82209910023334</v>
      </c>
      <c r="BG14" s="67">
        <f t="shared" si="25"/>
        <v>1</v>
      </c>
    </row>
    <row r="15" spans="2:59" ht="12.75">
      <c r="B15" s="48">
        <f t="shared" si="12"/>
        <v>0.06818181818181818</v>
      </c>
      <c r="C15" s="2">
        <v>600</v>
      </c>
      <c r="D15" s="2">
        <v>2850</v>
      </c>
      <c r="E15" s="49">
        <f t="shared" si="26"/>
        <v>72.39999999999999</v>
      </c>
      <c r="G15" s="48">
        <v>-2061.61</v>
      </c>
      <c r="H15" s="50">
        <v>-2061.61</v>
      </c>
      <c r="I15" s="49">
        <f t="shared" si="0"/>
        <v>67.68939393939394</v>
      </c>
      <c r="K15" s="74">
        <v>510.799026371</v>
      </c>
      <c r="L15">
        <v>1478.26775391</v>
      </c>
      <c r="M15" s="49">
        <f t="shared" si="27"/>
        <v>13.665909090909093</v>
      </c>
      <c r="O15" s="74">
        <v>-140.73675537</v>
      </c>
      <c r="P15" s="76">
        <v>955.71282959</v>
      </c>
      <c r="Q15" s="49">
        <v>19</v>
      </c>
      <c r="S15" s="74">
        <v>659.70541406</v>
      </c>
      <c r="T15" s="76">
        <v>1914.03083203</v>
      </c>
      <c r="U15" s="49">
        <v>67.4</v>
      </c>
      <c r="W15" s="48">
        <f t="shared" si="13"/>
        <v>113.976</v>
      </c>
      <c r="X15" s="50">
        <f t="shared" si="28"/>
        <v>113976</v>
      </c>
      <c r="Y15" s="50">
        <f t="shared" si="14"/>
        <v>1478.26775391</v>
      </c>
      <c r="Z15" s="50">
        <f t="shared" si="15"/>
        <v>510.799026371</v>
      </c>
      <c r="AA15" s="55">
        <f t="shared" si="1"/>
        <v>0.01</v>
      </c>
      <c r="AB15" s="2"/>
      <c r="AC15" s="48">
        <f t="shared" si="16"/>
        <v>0.01</v>
      </c>
      <c r="AD15" s="50">
        <f t="shared" si="2"/>
        <v>779.6480636901706</v>
      </c>
      <c r="AE15" s="50">
        <f t="shared" si="17"/>
        <v>0.005875654394310006</v>
      </c>
      <c r="AF15" s="57">
        <f t="shared" si="3"/>
        <v>2.347208098808176E-13</v>
      </c>
      <c r="AG15" s="57">
        <f t="shared" si="4"/>
        <v>-2.347227310801571E-13</v>
      </c>
      <c r="AH15" s="57">
        <f t="shared" si="29"/>
        <v>1.9725854081498234E-21</v>
      </c>
      <c r="AI15" s="57">
        <f t="shared" si="30"/>
        <v>2.5700596347727475E-21</v>
      </c>
      <c r="AJ15" s="57">
        <f t="shared" si="31"/>
        <v>5.974742266229239E-22</v>
      </c>
      <c r="AK15" s="57">
        <f t="shared" si="18"/>
        <v>8.090231146817523</v>
      </c>
      <c r="AL15" s="57">
        <f t="shared" si="19"/>
        <v>4.9314635203745585E-21</v>
      </c>
      <c r="AM15" s="58">
        <f t="shared" si="20"/>
        <v>2.5</v>
      </c>
      <c r="AN15" s="57">
        <f t="shared" si="21"/>
        <v>1.4936855665573098E-21</v>
      </c>
      <c r="AO15" s="57">
        <f aca="true" t="shared" si="32" ref="AO15:AO55">AN15/(AM15-AL15*AO14)</f>
        <v>5.974742266229239E-22</v>
      </c>
      <c r="AP15" s="57">
        <f aca="true" t="shared" si="33" ref="AP15:AP55">(AK15+AL15*AP14)/(AM15-AL15*AO14)</f>
        <v>3.236092458727009</v>
      </c>
      <c r="AQ15" s="58">
        <f t="shared" si="22"/>
        <v>3.236092458727009</v>
      </c>
      <c r="AR15" s="49">
        <f t="shared" si="5"/>
        <v>3.236092458727009</v>
      </c>
      <c r="AT15" s="61">
        <f t="shared" si="6"/>
        <v>1.379149646315571E-13</v>
      </c>
      <c r="AU15" s="62">
        <f t="shared" si="23"/>
        <v>1.3791383580122294E-13</v>
      </c>
      <c r="AW15" s="48">
        <f>IF(OR($I$6=1,$I$6=0),-15-0.012*AD15+$L$6,IF(I6=2,-5.31-0.007992*AD15+$L$6,0))</f>
        <v>0</v>
      </c>
      <c r="AX15" s="50">
        <f>IF(OR($I$6=1,$I$6=0),16.81-0.00692*AD15-0.27937*E15+$L$6,IF(I6=2,7.2936-0.006277*AD15+$L$6,0))</f>
        <v>0</v>
      </c>
      <c r="AY15" s="50">
        <f t="shared" si="7"/>
        <v>-0.01591111774464665</v>
      </c>
      <c r="AZ15" s="50">
        <f t="shared" si="8"/>
        <v>0.8224342324263988</v>
      </c>
      <c r="BA15" s="49">
        <f t="shared" si="9"/>
        <v>0.8065231146817522</v>
      </c>
      <c r="BC15" s="65">
        <f t="shared" si="10"/>
        <v>779.6380636901706</v>
      </c>
      <c r="BD15" s="50">
        <f t="shared" si="11"/>
        <v>779.6380636901706</v>
      </c>
      <c r="BE15" s="49">
        <f t="shared" si="24"/>
        <v>779.635066218671</v>
      </c>
      <c r="BG15" s="67">
        <f t="shared" si="25"/>
        <v>1</v>
      </c>
    </row>
    <row r="16" spans="2:59" ht="12.75">
      <c r="B16" s="48">
        <f t="shared" si="12"/>
        <v>0.09090909090909091</v>
      </c>
      <c r="C16" s="2">
        <v>800</v>
      </c>
      <c r="D16" s="2">
        <v>3180</v>
      </c>
      <c r="E16" s="49">
        <f t="shared" si="26"/>
        <v>73.19999999999999</v>
      </c>
      <c r="G16" s="48">
        <v>-1406.43</v>
      </c>
      <c r="H16" s="50">
        <v>-1406.43</v>
      </c>
      <c r="I16" s="49">
        <f t="shared" si="0"/>
        <v>66.36363636363636</v>
      </c>
      <c r="K16" s="74">
        <v>435.07446289</v>
      </c>
      <c r="L16">
        <v>1709.74304199</v>
      </c>
      <c r="M16" s="49">
        <f t="shared" si="27"/>
        <v>15.454545454545457</v>
      </c>
      <c r="O16" s="74">
        <v>-115.86279102</v>
      </c>
      <c r="P16" s="76">
        <v>1204.44031738</v>
      </c>
      <c r="Q16" s="49">
        <v>20.4</v>
      </c>
      <c r="S16" s="74">
        <v>808.28384472</v>
      </c>
      <c r="T16" s="76">
        <v>2202.84576855</v>
      </c>
      <c r="U16" s="49">
        <v>67.7</v>
      </c>
      <c r="W16" s="48">
        <f t="shared" si="13"/>
        <v>151.968</v>
      </c>
      <c r="X16" s="50">
        <f t="shared" si="28"/>
        <v>151968</v>
      </c>
      <c r="Y16" s="50">
        <f t="shared" si="14"/>
        <v>1709.74304199</v>
      </c>
      <c r="Z16" s="50">
        <f t="shared" si="15"/>
        <v>435.07446289</v>
      </c>
      <c r="AA16" s="55">
        <f t="shared" si="1"/>
        <v>0.01</v>
      </c>
      <c r="AB16" s="2"/>
      <c r="AC16" s="48">
        <f t="shared" si="16"/>
        <v>0.01</v>
      </c>
      <c r="AD16" s="50">
        <f t="shared" si="2"/>
        <v>789.2878225974848</v>
      </c>
      <c r="AE16" s="50">
        <f t="shared" si="17"/>
        <v>0.004047773405736963</v>
      </c>
      <c r="AF16" s="57">
        <f t="shared" si="3"/>
        <v>1.1023217999590971E-13</v>
      </c>
      <c r="AG16" s="57">
        <f t="shared" si="4"/>
        <v>-1.1023309178066927E-13</v>
      </c>
      <c r="AH16" s="57">
        <f t="shared" si="29"/>
        <v>5.974742266229239E-22</v>
      </c>
      <c r="AI16" s="57">
        <f>-$I$7*(AG17+2*AG16+AG15)</f>
        <v>8.822529068607252E-22</v>
      </c>
      <c r="AJ16" s="57">
        <f>-$I$7*(AG16+AG17)</f>
        <v>2.847786802378012E-22</v>
      </c>
      <c r="AK16" s="57">
        <f t="shared" si="18"/>
        <v>8.105711470721289</v>
      </c>
      <c r="AL16" s="57">
        <f t="shared" si="19"/>
        <v>1.4936855665573098E-21</v>
      </c>
      <c r="AM16" s="58">
        <f t="shared" si="20"/>
        <v>2.5</v>
      </c>
      <c r="AN16" s="57">
        <f t="shared" si="21"/>
        <v>7.119467005945031E-22</v>
      </c>
      <c r="AO16" s="57">
        <f t="shared" si="32"/>
        <v>2.847786802378012E-22</v>
      </c>
      <c r="AP16" s="57">
        <f t="shared" si="33"/>
        <v>3.2422845882885154</v>
      </c>
      <c r="AQ16" s="58">
        <f t="shared" si="22"/>
        <v>3.2422845882885154</v>
      </c>
      <c r="AR16" s="49">
        <f t="shared" si="5"/>
        <v>3.2422845882885154</v>
      </c>
      <c r="AT16" s="61">
        <f t="shared" si="6"/>
        <v>4.4619857734195486E-14</v>
      </c>
      <c r="AU16" s="62">
        <f t="shared" si="23"/>
        <v>4.461948866438534E-14</v>
      </c>
      <c r="AW16" s="48">
        <f>IF(OR($I$6=1,$I$6=0),-15-0.012*AD16+$L$6,IF(I6=2,-5.31-0.007992*AD16+$L$6,0))</f>
        <v>0</v>
      </c>
      <c r="AX16" s="50">
        <f>IF(OR($I$6=1,$I$6=0),16.81-0.00692*AD16-0.27937*E16+$L$6,IF(I6=2,7.2936-0.006277*AD16+$L$6,0))</f>
        <v>0</v>
      </c>
      <c r="AY16" s="50">
        <f t="shared" si="7"/>
        <v>-0.013984378974624019</v>
      </c>
      <c r="AZ16" s="50">
        <f t="shared" si="8"/>
        <v>0.8220555260467528</v>
      </c>
      <c r="BA16" s="49">
        <f t="shared" si="9"/>
        <v>0.8080711470721288</v>
      </c>
      <c r="BC16" s="65">
        <f t="shared" si="10"/>
        <v>789.2778225974848</v>
      </c>
      <c r="BD16" s="50">
        <f t="shared" si="11"/>
        <v>789.2778225974848</v>
      </c>
      <c r="BE16" s="49">
        <f t="shared" si="24"/>
        <v>789.274819390447</v>
      </c>
      <c r="BG16" s="67">
        <f t="shared" si="25"/>
        <v>1</v>
      </c>
    </row>
    <row r="17" spans="2:59" ht="12.75">
      <c r="B17" s="48">
        <f t="shared" si="12"/>
        <v>0.11363636363636365</v>
      </c>
      <c r="C17" s="2">
        <v>500</v>
      </c>
      <c r="D17" s="2">
        <v>3400</v>
      </c>
      <c r="E17" s="49">
        <f t="shared" si="26"/>
        <v>73.99999999999999</v>
      </c>
      <c r="G17" s="48">
        <v>-626.842</v>
      </c>
      <c r="H17" s="50">
        <v>-626.842</v>
      </c>
      <c r="I17" s="49">
        <f t="shared" si="0"/>
        <v>65.03787878787878</v>
      </c>
      <c r="K17" s="74">
        <v>799.99033692</v>
      </c>
      <c r="L17">
        <v>1833.58395313</v>
      </c>
      <c r="M17" s="49">
        <f t="shared" si="27"/>
        <v>17.24318181818182</v>
      </c>
      <c r="O17" s="74">
        <v>-103.18001855</v>
      </c>
      <c r="P17" s="76">
        <v>1409.39281543</v>
      </c>
      <c r="Q17" s="49">
        <v>21.8</v>
      </c>
      <c r="S17" s="74">
        <v>1001.13197754</v>
      </c>
      <c r="T17" s="76">
        <v>2216.55417969</v>
      </c>
      <c r="U17" s="49">
        <v>68.1</v>
      </c>
      <c r="W17" s="48">
        <f t="shared" si="13"/>
        <v>189.96</v>
      </c>
      <c r="X17" s="50">
        <f t="shared" si="28"/>
        <v>189960</v>
      </c>
      <c r="Y17" s="50">
        <f t="shared" si="14"/>
        <v>1833.58395313</v>
      </c>
      <c r="Z17" s="50">
        <f t="shared" si="15"/>
        <v>799.99033692</v>
      </c>
      <c r="AA17" s="55">
        <f t="shared" si="1"/>
        <v>0.01</v>
      </c>
      <c r="AB17" s="2"/>
      <c r="AC17" s="48">
        <f t="shared" si="16"/>
        <v>0.01</v>
      </c>
      <c r="AD17" s="50">
        <f t="shared" si="2"/>
        <v>1087.214078151688</v>
      </c>
      <c r="AE17" s="50">
        <f t="shared" si="17"/>
        <v>-0.0032642753324508907</v>
      </c>
      <c r="AF17" s="57">
        <f t="shared" si="3"/>
        <v>5.4185230068909425E-14</v>
      </c>
      <c r="AG17" s="57">
        <f t="shared" si="4"/>
        <v>-5.4185823039985076E-14</v>
      </c>
      <c r="AH17" s="57">
        <f>-$I$7*(AG17+AG16)</f>
        <v>2.847786802378012E-22</v>
      </c>
      <c r="AI17" s="57">
        <f>-$I$7*(AG18+2*AG17+AG16)</f>
        <v>1.5719642815719618E-21</v>
      </c>
      <c r="AJ17" s="57">
        <f t="shared" si="31"/>
        <v>1.2871856013341606E-21</v>
      </c>
      <c r="AK17" s="57">
        <f t="shared" si="18"/>
        <v>8.10560030521316</v>
      </c>
      <c r="AL17" s="57">
        <f t="shared" si="19"/>
        <v>7.119467005945031E-22</v>
      </c>
      <c r="AM17" s="58">
        <f t="shared" si="20"/>
        <v>2.5</v>
      </c>
      <c r="AN17" s="57">
        <f t="shared" si="21"/>
        <v>3.2179640033354014E-21</v>
      </c>
      <c r="AO17" s="57">
        <f t="shared" si="32"/>
        <v>1.2871856013341606E-21</v>
      </c>
      <c r="AP17" s="57">
        <f t="shared" si="33"/>
        <v>3.2422401220852644</v>
      </c>
      <c r="AQ17" s="58">
        <f t="shared" si="22"/>
        <v>3.2422401220852644</v>
      </c>
      <c r="AR17" s="49">
        <f t="shared" si="5"/>
        <v>3.2422401220852644</v>
      </c>
      <c r="AT17" s="61">
        <f t="shared" si="6"/>
        <v>1.7687744551797242E-14</v>
      </c>
      <c r="AU17" s="62">
        <f t="shared" si="23"/>
        <v>1.768755098971173E-14</v>
      </c>
      <c r="AW17" s="48">
        <f>IF(OR($I$6=1,$I$6=0),-15-0.012*AD17+$L$6,IF(I6=2,-5.31-0.007992*AD17+$L$6,0))</f>
        <v>0</v>
      </c>
      <c r="AX17" s="50">
        <f>IF(OR($I$6=1,$I$6=0),16.81-0.00692*AD17-0.27937*E17+$L$6,IF(I6=2,7.2936-0.006277*AD17+$L$6,0))</f>
        <v>0</v>
      </c>
      <c r="AY17" s="50">
        <f t="shared" si="7"/>
        <v>-0.0001184398912657955</v>
      </c>
      <c r="AZ17" s="50">
        <f t="shared" si="8"/>
        <v>0.8081784704125818</v>
      </c>
      <c r="BA17" s="49">
        <f t="shared" si="9"/>
        <v>0.808060030521316</v>
      </c>
      <c r="BC17" s="65">
        <f t="shared" si="10"/>
        <v>1087.204078151688</v>
      </c>
      <c r="BD17" s="50">
        <f t="shared" si="11"/>
        <v>1087.204078151688</v>
      </c>
      <c r="BE17" s="49">
        <f t="shared" si="24"/>
        <v>1087.2010749858375</v>
      </c>
      <c r="BG17" s="67">
        <f t="shared" si="25"/>
        <v>1</v>
      </c>
    </row>
    <row r="18" spans="2:59" ht="12.75">
      <c r="B18" s="48">
        <f t="shared" si="12"/>
        <v>0.13636363636363638</v>
      </c>
      <c r="C18" s="2">
        <v>400</v>
      </c>
      <c r="D18" s="2">
        <v>3480</v>
      </c>
      <c r="E18" s="49">
        <f t="shared" si="26"/>
        <v>74.79999999999998</v>
      </c>
      <c r="G18" s="48">
        <v>-350.303</v>
      </c>
      <c r="H18" s="50">
        <v>-350.303</v>
      </c>
      <c r="I18" s="49">
        <f t="shared" si="0"/>
        <v>63.71212121212121</v>
      </c>
      <c r="K18" s="74">
        <v>145.46313477</v>
      </c>
      <c r="L18">
        <v>1569.76037598</v>
      </c>
      <c r="M18" s="49">
        <f t="shared" si="27"/>
        <v>19.031818181818185</v>
      </c>
      <c r="O18" s="74">
        <v>-126.15604004</v>
      </c>
      <c r="P18" s="76">
        <v>1587.73557031</v>
      </c>
      <c r="Q18" s="49">
        <v>23.1</v>
      </c>
      <c r="S18" s="74">
        <v>877.74835254</v>
      </c>
      <c r="T18" s="76">
        <v>1943.26784375</v>
      </c>
      <c r="U18" s="49">
        <v>68.4</v>
      </c>
      <c r="W18" s="48">
        <f t="shared" si="13"/>
        <v>227.952</v>
      </c>
      <c r="X18" s="50">
        <f t="shared" si="28"/>
        <v>227952</v>
      </c>
      <c r="Y18" s="50">
        <f t="shared" si="14"/>
        <v>1569.76037598</v>
      </c>
      <c r="Z18" s="50">
        <f t="shared" si="15"/>
        <v>145.46313477</v>
      </c>
      <c r="AA18" s="55">
        <f t="shared" si="1"/>
        <v>0.01</v>
      </c>
      <c r="AB18" s="2"/>
      <c r="AC18" s="48">
        <f t="shared" si="16"/>
        <v>0.01</v>
      </c>
      <c r="AD18" s="50">
        <f t="shared" si="2"/>
        <v>541.2551257365363</v>
      </c>
      <c r="AE18" s="50">
        <f t="shared" si="17"/>
        <v>-0.008652536173753009</v>
      </c>
      <c r="AF18" s="57">
        <f t="shared" si="3"/>
        <v>6.889754034402898E-13</v>
      </c>
      <c r="AG18" s="57">
        <f t="shared" si="4"/>
        <v>-6.88979569704333E-13</v>
      </c>
      <c r="AH18" s="57">
        <f t="shared" si="29"/>
        <v>1.2871856013341606E-21</v>
      </c>
      <c r="AI18" s="57">
        <f t="shared" si="30"/>
        <v>2.567394075329558E-21</v>
      </c>
      <c r="AJ18" s="57">
        <f t="shared" si="31"/>
        <v>1.280208473995397E-21</v>
      </c>
      <c r="AK18" s="57">
        <f t="shared" si="18"/>
        <v>5.990554089089338</v>
      </c>
      <c r="AL18" s="57">
        <f t="shared" si="19"/>
        <v>3.2179640033354014E-21</v>
      </c>
      <c r="AM18" s="58">
        <f t="shared" si="20"/>
        <v>2.5</v>
      </c>
      <c r="AN18" s="57">
        <f t="shared" si="21"/>
        <v>3.2005211849884926E-21</v>
      </c>
      <c r="AO18" s="57">
        <f t="shared" si="32"/>
        <v>1.280208473995397E-21</v>
      </c>
      <c r="AP18" s="57">
        <f t="shared" si="33"/>
        <v>2.3962216356357353</v>
      </c>
      <c r="AQ18" s="58">
        <f t="shared" si="22"/>
        <v>2.3962216356357353</v>
      </c>
      <c r="AR18" s="49">
        <f t="shared" si="5"/>
        <v>2.3962216356357353</v>
      </c>
      <c r="AT18" s="61">
        <f t="shared" si="6"/>
        <v>5.961420649843525E-13</v>
      </c>
      <c r="AU18" s="62">
        <f t="shared" si="23"/>
        <v>5.961384601093181E-13</v>
      </c>
      <c r="AW18" s="48">
        <f>IF(OR($I$6=1,$I$6=0),-15-0.012*AD18+$L$6,IF(I6=2,-5.31-0.007992*AD18+$L$6,0))</f>
        <v>0</v>
      </c>
      <c r="AX18" s="50">
        <f>IF(OR($I$6=1,$I$6=0),16.81-0.00692*AD18-0.27937*E18+$L$6,IF(I6=2,7.2936-0.006277*AD18+$L$6,0))</f>
        <v>0</v>
      </c>
      <c r="AY18" s="50">
        <f t="shared" si="7"/>
        <v>-0.23380346505135677</v>
      </c>
      <c r="AZ18" s="50">
        <f t="shared" si="8"/>
        <v>0.8303588739602906</v>
      </c>
      <c r="BA18" s="49">
        <f t="shared" si="9"/>
        <v>0.5965554089089339</v>
      </c>
      <c r="BC18" s="65">
        <f t="shared" si="10"/>
        <v>541.2451257365364</v>
      </c>
      <c r="BD18" s="50">
        <f t="shared" si="11"/>
        <v>541.2451257365364</v>
      </c>
      <c r="BE18" s="49">
        <f t="shared" si="24"/>
        <v>541.2429062059911</v>
      </c>
      <c r="BG18" s="67">
        <f t="shared" si="25"/>
        <v>1</v>
      </c>
    </row>
    <row r="19" spans="2:59" ht="12.75">
      <c r="B19" s="48">
        <f t="shared" si="12"/>
        <v>0.15909090909090912</v>
      </c>
      <c r="C19" s="2">
        <v>400</v>
      </c>
      <c r="D19" s="2">
        <v>3550</v>
      </c>
      <c r="E19" s="49">
        <f t="shared" si="26"/>
        <v>75.59999999999998</v>
      </c>
      <c r="G19" s="48">
        <v>-259.054</v>
      </c>
      <c r="H19" s="50">
        <v>-259.054</v>
      </c>
      <c r="I19" s="49">
        <f t="shared" si="0"/>
        <v>62.38636363636363</v>
      </c>
      <c r="K19" s="74">
        <v>-47.65245606</v>
      </c>
      <c r="L19">
        <v>1670.37082031</v>
      </c>
      <c r="M19" s="49">
        <f t="shared" si="27"/>
        <v>20.82045454545455</v>
      </c>
      <c r="O19" s="74">
        <v>-169.23535156</v>
      </c>
      <c r="P19" s="76">
        <v>1768.93286133</v>
      </c>
      <c r="Q19" s="49">
        <v>24.5</v>
      </c>
      <c r="S19" s="74">
        <v>920.835302738</v>
      </c>
      <c r="T19" s="76">
        <v>1759.85350684</v>
      </c>
      <c r="U19" s="49">
        <v>68.7</v>
      </c>
      <c r="W19" s="48">
        <f t="shared" si="13"/>
        <v>265.944</v>
      </c>
      <c r="X19" s="50">
        <f t="shared" si="28"/>
        <v>265944</v>
      </c>
      <c r="Y19" s="50">
        <f t="shared" si="14"/>
        <v>1670.37082031</v>
      </c>
      <c r="Z19" s="50">
        <f t="shared" si="15"/>
        <v>-47.65245606</v>
      </c>
      <c r="AA19" s="55">
        <f t="shared" si="1"/>
        <v>0.01</v>
      </c>
      <c r="AB19" s="2"/>
      <c r="AC19" s="48">
        <f t="shared" si="16"/>
        <v>0.01</v>
      </c>
      <c r="AD19" s="50">
        <f t="shared" si="2"/>
        <v>429.7597695252394</v>
      </c>
      <c r="AE19" s="50">
        <f t="shared" si="17"/>
        <v>-0.002132840786239767</v>
      </c>
      <c r="AF19" s="57">
        <f t="shared" si="3"/>
        <v>5.0157277798519064E-14</v>
      </c>
      <c r="AG19" s="57">
        <f t="shared" si="4"/>
        <v>-5.0157530947869623E-14</v>
      </c>
      <c r="AH19" s="57">
        <f t="shared" si="29"/>
        <v>1.280208473995397E-21</v>
      </c>
      <c r="AI19" s="57">
        <f t="shared" si="30"/>
        <v>1.3969567480431792E-21</v>
      </c>
      <c r="AJ19" s="57">
        <f t="shared" si="31"/>
        <v>1.167482740477819E-22</v>
      </c>
      <c r="AK19" s="57">
        <f t="shared" si="18"/>
        <v>2.4658289236349966</v>
      </c>
      <c r="AL19" s="57">
        <f t="shared" si="19"/>
        <v>3.2005211849884926E-21</v>
      </c>
      <c r="AM19" s="58">
        <f t="shared" si="20"/>
        <v>2.5</v>
      </c>
      <c r="AN19" s="57">
        <f t="shared" si="21"/>
        <v>2.9187068511945476E-22</v>
      </c>
      <c r="AO19" s="57">
        <f t="shared" si="32"/>
        <v>1.167482740477819E-22</v>
      </c>
      <c r="AP19" s="57">
        <f t="shared" si="33"/>
        <v>0.9863315694539987</v>
      </c>
      <c r="AQ19" s="58">
        <f t="shared" si="22"/>
        <v>0.9863315694539987</v>
      </c>
      <c r="AR19" s="49">
        <f t="shared" si="5"/>
        <v>0.9863315694539987</v>
      </c>
      <c r="AT19" s="61">
        <f t="shared" si="6"/>
        <v>1.0697802774269969E-14</v>
      </c>
      <c r="AU19" s="62">
        <f t="shared" si="23"/>
        <v>1.069774878154398E-14</v>
      </c>
      <c r="AW19" s="48">
        <f>IF(OR($I$6=1,$I$6=0),-15-0.012*AD19+$L$6,IF(I6=2,-5.31-0.007992*AD19+$L$6,0))</f>
        <v>0</v>
      </c>
      <c r="AX19" s="50">
        <f>IF(OR($I$6=1,$I$6=0),16.81-0.00692*AD19-0.27937*E19+$L$6,IF(I6=2,7.2936-0.006277*AD19+$L$6,0))</f>
        <v>0</v>
      </c>
      <c r="AY19" s="50">
        <f t="shared" si="7"/>
        <v>-0.5890181536857187</v>
      </c>
      <c r="AZ19" s="50">
        <f t="shared" si="8"/>
        <v>0.8331010460492184</v>
      </c>
      <c r="BA19" s="49">
        <f t="shared" si="9"/>
        <v>0.24408289236349967</v>
      </c>
      <c r="BC19" s="65">
        <f t="shared" si="10"/>
        <v>429.7497695252394</v>
      </c>
      <c r="BD19" s="50">
        <f t="shared" si="11"/>
        <v>429.7497695252394</v>
      </c>
      <c r="BE19" s="49">
        <f t="shared" si="24"/>
        <v>429.7488559231695</v>
      </c>
      <c r="BG19" s="67">
        <f t="shared" si="25"/>
        <v>1</v>
      </c>
    </row>
    <row r="20" spans="2:59" ht="12.75">
      <c r="B20" s="48">
        <f t="shared" si="12"/>
        <v>0.18181818181818185</v>
      </c>
      <c r="C20" s="2">
        <v>400</v>
      </c>
      <c r="D20" s="2">
        <v>3600</v>
      </c>
      <c r="E20" s="49">
        <f t="shared" si="26"/>
        <v>76.39999999999998</v>
      </c>
      <c r="G20" s="48">
        <v>-223.468</v>
      </c>
      <c r="H20" s="50">
        <v>-223.468</v>
      </c>
      <c r="I20" s="49">
        <f t="shared" si="0"/>
        <v>61.06060606060606</v>
      </c>
      <c r="K20" s="74">
        <v>-153.35568066</v>
      </c>
      <c r="L20">
        <v>1763.08794629</v>
      </c>
      <c r="M20" s="49">
        <f t="shared" si="27"/>
        <v>22.609090909090913</v>
      </c>
      <c r="O20" s="74">
        <v>-224.21034082</v>
      </c>
      <c r="P20" s="76">
        <v>1870.15723145</v>
      </c>
      <c r="Q20" s="49">
        <v>25.8</v>
      </c>
      <c r="S20" s="74">
        <v>458.111492678</v>
      </c>
      <c r="T20" s="76">
        <v>1364.18770508</v>
      </c>
      <c r="U20" s="49">
        <v>69.1</v>
      </c>
      <c r="W20" s="48">
        <f t="shared" si="13"/>
        <v>303.936</v>
      </c>
      <c r="X20" s="50">
        <f t="shared" si="28"/>
        <v>303936</v>
      </c>
      <c r="Y20" s="50">
        <f t="shared" si="14"/>
        <v>1763.08794629</v>
      </c>
      <c r="Z20" s="50">
        <f t="shared" si="15"/>
        <v>-153.35568066</v>
      </c>
      <c r="AA20" s="55">
        <f t="shared" si="1"/>
        <v>0.01</v>
      </c>
      <c r="AB20" s="2"/>
      <c r="AC20" s="48">
        <f t="shared" si="16"/>
        <v>0.01</v>
      </c>
      <c r="AD20" s="50">
        <f t="shared" si="2"/>
        <v>379.1933514348939</v>
      </c>
      <c r="AE20" s="50">
        <f t="shared" si="17"/>
        <v>-0.001193202327331232</v>
      </c>
      <c r="AF20" s="57">
        <f t="shared" si="3"/>
        <v>1.7247802720915562E-14</v>
      </c>
      <c r="AG20" s="57">
        <f t="shared" si="4"/>
        <v>-1.7247881950636605E-14</v>
      </c>
      <c r="AH20" s="57">
        <f t="shared" si="29"/>
        <v>1.167482740477819E-22</v>
      </c>
      <c r="AI20" s="57">
        <f t="shared" si="30"/>
        <v>1.7411672681426803E-22</v>
      </c>
      <c r="AJ20" s="57">
        <f t="shared" si="31"/>
        <v>5.736845276648609E-23</v>
      </c>
      <c r="AK20" s="57">
        <f t="shared" si="18"/>
        <v>0.01525626452841764</v>
      </c>
      <c r="AL20" s="57">
        <f t="shared" si="19"/>
        <v>2.9187068511945476E-22</v>
      </c>
      <c r="AM20" s="58">
        <f t="shared" si="20"/>
        <v>2.5</v>
      </c>
      <c r="AN20" s="57">
        <f t="shared" si="21"/>
        <v>1.4342113191621524E-22</v>
      </c>
      <c r="AO20" s="57">
        <f t="shared" si="32"/>
        <v>5.736845276648609E-23</v>
      </c>
      <c r="AP20" s="57">
        <f t="shared" si="33"/>
        <v>0.006102505811367056</v>
      </c>
      <c r="AQ20" s="58">
        <f t="shared" si="22"/>
        <v>0.006102505811367056</v>
      </c>
      <c r="AR20" s="49">
        <f t="shared" si="5"/>
        <v>0.006102505811367056</v>
      </c>
      <c r="AT20" s="61">
        <f t="shared" si="6"/>
        <v>2.058021288503395E-15</v>
      </c>
      <c r="AU20" s="62">
        <f t="shared" si="23"/>
        <v>2.0580118347946403E-15</v>
      </c>
      <c r="AW20" s="48">
        <f>IF(OR($I$6=1,$I$6=0),-15-0.012*AD20+$L$6,IF(I6=2,-5.31-0.007992*AD20+$L$6,0))</f>
        <v>0</v>
      </c>
      <c r="AX20" s="50">
        <f>IF(OR($I$6=1,$I$6=0),16.81-0.00692*AD20-0.27937*E20+$L$6,IF(I6=2,7.2936-0.006277*AD20+$L$6,0))</f>
        <v>0</v>
      </c>
      <c r="AY20" s="50">
        <f t="shared" si="7"/>
        <v>-0.8351138654056253</v>
      </c>
      <c r="AZ20" s="50">
        <f t="shared" si="8"/>
        <v>0.834139491858467</v>
      </c>
      <c r="BA20" s="49">
        <f t="shared" si="9"/>
        <v>-0.000974373547158236</v>
      </c>
      <c r="BC20" s="65">
        <f t="shared" si="10"/>
        <v>379.1833514348939</v>
      </c>
      <c r="BD20" s="50">
        <f t="shared" si="11"/>
        <v>379.1833514348939</v>
      </c>
      <c r="BE20" s="49">
        <f t="shared" si="24"/>
        <v>379.18334578237085</v>
      </c>
      <c r="BG20" s="67">
        <f t="shared" si="25"/>
        <v>1</v>
      </c>
    </row>
    <row r="21" spans="2:59" ht="12.75">
      <c r="B21" s="48">
        <f t="shared" si="12"/>
        <v>0.20454545454545459</v>
      </c>
      <c r="C21" s="2">
        <v>400</v>
      </c>
      <c r="D21" s="2">
        <v>3640</v>
      </c>
      <c r="E21" s="49">
        <f t="shared" si="26"/>
        <v>77.19999999999997</v>
      </c>
      <c r="G21" s="48">
        <v>-156.348</v>
      </c>
      <c r="H21" s="50">
        <v>-156.348</v>
      </c>
      <c r="I21" s="49">
        <f t="shared" si="0"/>
        <v>59.734848484848484</v>
      </c>
      <c r="K21" s="74">
        <v>-255.24679102</v>
      </c>
      <c r="L21">
        <v>1883.57164648</v>
      </c>
      <c r="M21" s="49">
        <f t="shared" si="27"/>
        <v>24.397727272727277</v>
      </c>
      <c r="O21" s="74">
        <v>-341.49023536</v>
      </c>
      <c r="P21" s="76">
        <v>1760.41902441</v>
      </c>
      <c r="Q21" s="49">
        <v>27.2</v>
      </c>
      <c r="S21" s="74">
        <v>357.215702153</v>
      </c>
      <c r="T21" s="76">
        <v>1124.98296729</v>
      </c>
      <c r="U21" s="49">
        <v>69.4</v>
      </c>
      <c r="W21" s="48">
        <f t="shared" si="13"/>
        <v>341.928</v>
      </c>
      <c r="X21" s="50">
        <f t="shared" si="28"/>
        <v>341928</v>
      </c>
      <c r="Y21" s="50">
        <f t="shared" si="14"/>
        <v>1883.57164648</v>
      </c>
      <c r="Z21" s="50">
        <f t="shared" si="15"/>
        <v>-255.24679102</v>
      </c>
      <c r="AA21" s="55">
        <f t="shared" si="1"/>
        <v>0.01</v>
      </c>
      <c r="AB21" s="2"/>
      <c r="AC21" s="48">
        <f t="shared" si="16"/>
        <v>0.01</v>
      </c>
      <c r="AD21" s="50">
        <f t="shared" si="2"/>
        <v>339.09548388530305</v>
      </c>
      <c r="AE21" s="50">
        <f t="shared" si="17"/>
        <v>-0.0010989811699079794</v>
      </c>
      <c r="AF21" s="57">
        <f t="shared" si="3"/>
        <v>1.5874118617191626E-14</v>
      </c>
      <c r="AG21" s="57">
        <f t="shared" si="4"/>
        <v>-1.5874185828205343E-14</v>
      </c>
      <c r="AH21" s="57">
        <f t="shared" si="29"/>
        <v>5.736845276648609E-23</v>
      </c>
      <c r="AI21" s="57">
        <f t="shared" si="30"/>
        <v>8.504689705332779E-23</v>
      </c>
      <c r="AJ21" s="57">
        <f t="shared" si="31"/>
        <v>2.767844428684171E-23</v>
      </c>
      <c r="AK21" s="57">
        <f t="shared" si="18"/>
        <v>-2.3045177433019144</v>
      </c>
      <c r="AL21" s="57">
        <f t="shared" si="19"/>
        <v>1.4342113191621524E-22</v>
      </c>
      <c r="AM21" s="58">
        <f t="shared" si="20"/>
        <v>2.5</v>
      </c>
      <c r="AN21" s="57">
        <f t="shared" si="21"/>
        <v>6.919611071710428E-23</v>
      </c>
      <c r="AO21" s="57">
        <f t="shared" si="32"/>
        <v>2.767844428684171E-23</v>
      </c>
      <c r="AP21" s="57">
        <f t="shared" si="33"/>
        <v>-0.9218070973207657</v>
      </c>
      <c r="AQ21" s="58">
        <f t="shared" si="22"/>
        <v>-0.9218070973207657</v>
      </c>
      <c r="AR21" s="49">
        <f t="shared" si="5"/>
        <v>0</v>
      </c>
      <c r="AT21" s="61">
        <f t="shared" si="6"/>
        <v>1.7445431312817775E-15</v>
      </c>
      <c r="AU21" s="62">
        <f t="shared" si="23"/>
        <v>1.7445357449179288E-15</v>
      </c>
      <c r="AW21" s="48">
        <f>IF(OR($I$6=1,$I$6=0),-15-0.012*AD21+$L$6,IF(I6=2,-5.31-0.007992*AD21+$L$6,0))</f>
        <v>0</v>
      </c>
      <c r="AX21" s="50">
        <f>IF(OR($I$6=1,$I$6=0),16.81-0.00692*AD21-0.27937*E21+$L$6,IF(I6=2,7.2936-0.006277*AD21+$L$6,0))</f>
        <v>0</v>
      </c>
      <c r="AY21" s="50">
        <f t="shared" si="7"/>
        <v>-1.0678232131850816</v>
      </c>
      <c r="AZ21" s="50">
        <f t="shared" si="8"/>
        <v>0.8348714388548901</v>
      </c>
      <c r="BA21" s="49">
        <f t="shared" si="9"/>
        <v>-0.23295177433019143</v>
      </c>
      <c r="BC21" s="65">
        <f t="shared" si="10"/>
        <v>339.08548388530306</v>
      </c>
      <c r="BD21" s="50">
        <f t="shared" si="11"/>
        <v>339.08548388530306</v>
      </c>
      <c r="BE21" s="49">
        <f t="shared" si="24"/>
        <v>339.08548388530306</v>
      </c>
      <c r="BG21" s="67">
        <f t="shared" si="25"/>
        <v>1</v>
      </c>
    </row>
    <row r="22" spans="2:59" ht="12.75">
      <c r="B22" s="48">
        <f t="shared" si="12"/>
        <v>0.22727272727272732</v>
      </c>
      <c r="C22" s="2">
        <v>400</v>
      </c>
      <c r="D22" s="2">
        <v>3680</v>
      </c>
      <c r="E22" s="49">
        <f t="shared" si="26"/>
        <v>77.99999999999997</v>
      </c>
      <c r="G22" s="48">
        <v>-69.5695</v>
      </c>
      <c r="H22" s="50">
        <v>-69.5695</v>
      </c>
      <c r="I22" s="49">
        <f t="shared" si="0"/>
        <v>58.40909090909091</v>
      </c>
      <c r="K22" s="74">
        <v>-266.44593359</v>
      </c>
      <c r="L22">
        <v>1756.46594141</v>
      </c>
      <c r="M22" s="49">
        <f t="shared" si="27"/>
        <v>26.18636363636364</v>
      </c>
      <c r="O22" s="74">
        <v>-323.72290039</v>
      </c>
      <c r="P22" s="76">
        <v>1780.92431641</v>
      </c>
      <c r="Q22" s="49">
        <v>28.5</v>
      </c>
      <c r="S22" s="74">
        <v>301.434618652</v>
      </c>
      <c r="T22" s="76">
        <v>921.61215625</v>
      </c>
      <c r="U22" s="49">
        <v>69.7</v>
      </c>
      <c r="W22" s="48">
        <f t="shared" si="13"/>
        <v>379.92</v>
      </c>
      <c r="X22" s="50">
        <f t="shared" si="28"/>
        <v>379920</v>
      </c>
      <c r="Y22" s="50">
        <f t="shared" si="14"/>
        <v>1756.46594141</v>
      </c>
      <c r="Z22" s="50">
        <f t="shared" si="15"/>
        <v>-266.44593359</v>
      </c>
      <c r="AA22" s="55">
        <f t="shared" si="1"/>
        <v>0.01</v>
      </c>
      <c r="AB22" s="2"/>
      <c r="AC22" s="48">
        <f t="shared" si="16"/>
        <v>0.01</v>
      </c>
      <c r="AD22" s="50">
        <f t="shared" si="2"/>
        <v>295.688366220606</v>
      </c>
      <c r="AE22" s="50">
        <f t="shared" si="17"/>
        <v>-8.5638062697571E-05</v>
      </c>
      <c r="AF22" s="57">
        <f t="shared" si="3"/>
        <v>1.0615249466665222E-16</v>
      </c>
      <c r="AG22" s="57">
        <f t="shared" si="4"/>
        <v>-1.0615290279204027E-16</v>
      </c>
      <c r="AH22" s="57">
        <f t="shared" si="29"/>
        <v>2.767844428684171E-23</v>
      </c>
      <c r="AI22" s="57">
        <f t="shared" si="30"/>
        <v>3.350748111223722E-23</v>
      </c>
      <c r="AJ22" s="57">
        <f t="shared" si="31"/>
        <v>5.829036825395513E-24</v>
      </c>
      <c r="AK22" s="57">
        <f t="shared" si="18"/>
        <v>-5.128438562016364</v>
      </c>
      <c r="AL22" s="57">
        <f t="shared" si="19"/>
        <v>6.919611071710428E-23</v>
      </c>
      <c r="AM22" s="58">
        <f t="shared" si="20"/>
        <v>2.5</v>
      </c>
      <c r="AN22" s="57">
        <f t="shared" si="21"/>
        <v>1.4572592063488783E-23</v>
      </c>
      <c r="AO22" s="57">
        <f t="shared" si="32"/>
        <v>5.829036825395514E-24</v>
      </c>
      <c r="AP22" s="57">
        <f t="shared" si="33"/>
        <v>-2.0513754248065457</v>
      </c>
      <c r="AQ22" s="58">
        <f t="shared" si="22"/>
        <v>-2.0513754248065457</v>
      </c>
      <c r="AR22" s="49">
        <f t="shared" si="5"/>
        <v>0</v>
      </c>
      <c r="AT22" s="61">
        <f t="shared" si="6"/>
        <v>9.090728944833902E-19</v>
      </c>
      <c r="AU22" s="62">
        <f t="shared" si="23"/>
        <v>9.090693993766334E-19</v>
      </c>
      <c r="AW22" s="48">
        <f>IF(OR($I$6=1,$I$6=0),-15-0.012*AD22+$L$6,IF(I6=2,-5.31-0.007992*AD22+$L$6,0))</f>
        <v>0</v>
      </c>
      <c r="AX22" s="50">
        <f>IF(OR($I$6=1,$I$6=0),16.81-0.00692*AD22-0.27937*E22+$L$6,IF(I6=2,7.2936-0.006277*AD22+$L$6,0))</f>
        <v>0</v>
      </c>
      <c r="AY22" s="50">
        <f t="shared" si="7"/>
        <v>-1.350916134807316</v>
      </c>
      <c r="AZ22" s="50">
        <f t="shared" si="8"/>
        <v>0.8355722786056796</v>
      </c>
      <c r="BA22" s="49">
        <f t="shared" si="9"/>
        <v>-0.5153438562016364</v>
      </c>
      <c r="BC22" s="65">
        <f t="shared" si="10"/>
        <v>295.678366220606</v>
      </c>
      <c r="BD22" s="50">
        <f t="shared" si="11"/>
        <v>295.678366220606</v>
      </c>
      <c r="BE22" s="49">
        <f t="shared" si="24"/>
        <v>295.678366220606</v>
      </c>
      <c r="BG22" s="67">
        <f t="shared" si="25"/>
        <v>1</v>
      </c>
    </row>
    <row r="23" spans="2:59" ht="12.75">
      <c r="B23" s="48">
        <f t="shared" si="12"/>
        <v>0.25000000000000006</v>
      </c>
      <c r="C23" s="2">
        <v>500</v>
      </c>
      <c r="D23" s="2">
        <v>3700</v>
      </c>
      <c r="E23" s="49">
        <f t="shared" si="26"/>
        <v>78.79999999999997</v>
      </c>
      <c r="G23" s="48">
        <v>654.747</v>
      </c>
      <c r="H23" s="50">
        <v>962.503</v>
      </c>
      <c r="I23" s="49">
        <f t="shared" si="0"/>
        <v>57.08333333333333</v>
      </c>
      <c r="K23" s="74">
        <v>-193.30578614</v>
      </c>
      <c r="L23">
        <v>1699.18896484</v>
      </c>
      <c r="M23" s="49">
        <f t="shared" si="27"/>
        <v>27.975000000000005</v>
      </c>
      <c r="O23" s="74">
        <v>-449.45411035</v>
      </c>
      <c r="P23" s="76">
        <v>1819.76557129</v>
      </c>
      <c r="Q23" s="49">
        <v>29.8</v>
      </c>
      <c r="S23" s="74">
        <v>249.48815918</v>
      </c>
      <c r="T23" s="76">
        <v>711.679138184</v>
      </c>
      <c r="U23" s="49">
        <v>70</v>
      </c>
      <c r="W23" s="48">
        <f t="shared" si="13"/>
        <v>417.912</v>
      </c>
      <c r="X23" s="50">
        <f t="shared" si="28"/>
        <v>417912</v>
      </c>
      <c r="Y23" s="50">
        <f t="shared" si="14"/>
        <v>1699.18896484</v>
      </c>
      <c r="Z23" s="50">
        <f t="shared" si="15"/>
        <v>-193.30578614</v>
      </c>
      <c r="AA23" s="55">
        <f t="shared" si="1"/>
        <v>0.01</v>
      </c>
      <c r="AB23" s="2"/>
      <c r="AC23" s="48">
        <f t="shared" si="16"/>
        <v>0.01</v>
      </c>
      <c r="AD23" s="50">
        <f t="shared" si="2"/>
        <v>332.5883613292908</v>
      </c>
      <c r="AE23" s="50">
        <f t="shared" si="17"/>
        <v>0.0004945288596175366</v>
      </c>
      <c r="AF23" s="57">
        <f t="shared" si="3"/>
        <v>3.2592676854907344E-15</v>
      </c>
      <c r="AG23" s="57">
        <f t="shared" si="4"/>
        <v>-3.2592812950238147E-15</v>
      </c>
      <c r="AH23" s="57">
        <f t="shared" si="29"/>
        <v>5.829036825395513E-24</v>
      </c>
      <c r="AI23" s="57">
        <f t="shared" si="30"/>
        <v>2.3886270387495075E-23</v>
      </c>
      <c r="AJ23" s="57">
        <f t="shared" si="31"/>
        <v>1.8057233562099563E-23</v>
      </c>
      <c r="AK23" s="57">
        <f t="shared" si="18"/>
        <v>-2.709248012942726</v>
      </c>
      <c r="AL23" s="57">
        <f t="shared" si="19"/>
        <v>1.4572592063488783E-23</v>
      </c>
      <c r="AM23" s="58">
        <f t="shared" si="20"/>
        <v>2.5</v>
      </c>
      <c r="AN23" s="57">
        <f t="shared" si="21"/>
        <v>4.5143083905248906E-23</v>
      </c>
      <c r="AO23" s="57">
        <f t="shared" si="32"/>
        <v>1.8057233562099563E-23</v>
      </c>
      <c r="AP23" s="57">
        <f t="shared" si="33"/>
        <v>-1.0836992051770904</v>
      </c>
      <c r="AQ23" s="58">
        <f t="shared" si="22"/>
        <v>-1.0836992051770904</v>
      </c>
      <c r="AR23" s="49">
        <f t="shared" si="5"/>
        <v>0</v>
      </c>
      <c r="AT23" s="61">
        <f t="shared" si="6"/>
        <v>1.611808662000895E-16</v>
      </c>
      <c r="AU23" s="62">
        <f t="shared" si="23"/>
        <v>1.6118019316940207E-16</v>
      </c>
      <c r="AW23" s="48">
        <f>IF(OR($I$6=1,$I$6=0),-15-0.012*AD23+$L$6,IF(I6=2,-5.31-0.007992*AD23+$L$6,0))</f>
        <v>0</v>
      </c>
      <c r="AX23" s="50">
        <f>IF(OR($I$6=1,$I$6=0),16.81-0.00692*AD23-0.27937*E23+$L$6,IF(I6=2,7.2936-0.006277*AD23+$L$6,0))</f>
        <v>0</v>
      </c>
      <c r="AY23" s="50">
        <f t="shared" si="7"/>
        <v>-1.1084073704471824</v>
      </c>
      <c r="AZ23" s="50">
        <f t="shared" si="8"/>
        <v>0.8349825691529098</v>
      </c>
      <c r="BA23" s="49">
        <f t="shared" si="9"/>
        <v>-0.2734248012942726</v>
      </c>
      <c r="BC23" s="65">
        <f t="shared" si="10"/>
        <v>332.57836132929083</v>
      </c>
      <c r="BD23" s="50">
        <f t="shared" si="11"/>
        <v>332.57836132929083</v>
      </c>
      <c r="BE23" s="49">
        <f t="shared" si="24"/>
        <v>332.57836132929083</v>
      </c>
      <c r="BG23" s="67">
        <f t="shared" si="25"/>
        <v>1</v>
      </c>
    </row>
    <row r="24" spans="2:59" ht="12.75">
      <c r="B24" s="48">
        <f t="shared" si="12"/>
        <v>0.27272727272727276</v>
      </c>
      <c r="C24" s="2">
        <v>400</v>
      </c>
      <c r="D24" s="2">
        <v>3710</v>
      </c>
      <c r="E24" s="49">
        <f t="shared" si="26"/>
        <v>79.59999999999997</v>
      </c>
      <c r="G24" s="48">
        <v>727.329</v>
      </c>
      <c r="H24" s="50">
        <v>1697.24</v>
      </c>
      <c r="I24" s="49">
        <f t="shared" si="0"/>
        <v>55.75757575757576</v>
      </c>
      <c r="K24" s="74">
        <v>-193.28398145</v>
      </c>
      <c r="L24">
        <v>1701.56604492</v>
      </c>
      <c r="M24" s="49">
        <f t="shared" si="27"/>
        <v>29.76363636363637</v>
      </c>
      <c r="O24" s="74">
        <v>-473.70314063</v>
      </c>
      <c r="P24" s="76">
        <v>1873.99120703</v>
      </c>
      <c r="Q24" s="49">
        <v>31.2</v>
      </c>
      <c r="S24" s="74">
        <v>-8.152375488</v>
      </c>
      <c r="T24" s="76">
        <v>380.670562744</v>
      </c>
      <c r="U24" s="49">
        <v>70.4</v>
      </c>
      <c r="W24" s="48">
        <f t="shared" si="13"/>
        <v>455.904</v>
      </c>
      <c r="X24" s="50">
        <f t="shared" si="28"/>
        <v>455904</v>
      </c>
      <c r="Y24" s="50">
        <f t="shared" si="14"/>
        <v>1701.56604492</v>
      </c>
      <c r="Z24" s="50">
        <f t="shared" si="15"/>
        <v>-193.28398145</v>
      </c>
      <c r="AA24" s="55">
        <f t="shared" si="1"/>
        <v>0.01</v>
      </c>
      <c r="AB24" s="2"/>
      <c r="AC24" s="48">
        <f t="shared" si="16"/>
        <v>0.01</v>
      </c>
      <c r="AD24" s="50">
        <f t="shared" si="2"/>
        <v>333.2646470897849</v>
      </c>
      <c r="AE24" s="50">
        <f t="shared" si="17"/>
        <v>-0.0007338206507458487</v>
      </c>
      <c r="AF24" s="57">
        <f t="shared" si="3"/>
        <v>7.16615578674693E-15</v>
      </c>
      <c r="AG24" s="57">
        <f t="shared" si="4"/>
        <v>-7.166185753507768E-15</v>
      </c>
      <c r="AH24" s="57">
        <f t="shared" si="29"/>
        <v>1.8057233562099563E-23</v>
      </c>
      <c r="AI24" s="57">
        <f t="shared" si="30"/>
        <v>7.52056079795531E-23</v>
      </c>
      <c r="AJ24" s="57">
        <f t="shared" si="31"/>
        <v>5.714837441745354E-23</v>
      </c>
      <c r="AK24" s="57">
        <f t="shared" si="18"/>
        <v>-2.666846569976455</v>
      </c>
      <c r="AL24" s="57">
        <f t="shared" si="19"/>
        <v>4.5143083905248906E-23</v>
      </c>
      <c r="AM24" s="58">
        <f t="shared" si="20"/>
        <v>2.5</v>
      </c>
      <c r="AN24" s="57">
        <f t="shared" si="21"/>
        <v>1.4287093604363387E-22</v>
      </c>
      <c r="AO24" s="57">
        <f t="shared" si="32"/>
        <v>5.714837441745354E-23</v>
      </c>
      <c r="AP24" s="57">
        <f t="shared" si="33"/>
        <v>-1.066738627990582</v>
      </c>
      <c r="AQ24" s="58">
        <f t="shared" si="22"/>
        <v>-1.066738627990582</v>
      </c>
      <c r="AR24" s="49">
        <f t="shared" si="5"/>
        <v>0</v>
      </c>
      <c r="AT24" s="61">
        <f t="shared" si="6"/>
        <v>5.258695093004701E-16</v>
      </c>
      <c r="AU24" s="62">
        <f t="shared" si="23"/>
        <v>5.258673102776762E-16</v>
      </c>
      <c r="AW24" s="48">
        <f>IF(OR($I$6=1,$I$6=0),-15-0.012*AD24+$L$6,IF(I6=2,-5.31-0.007992*AD24+$L$6,0))</f>
        <v>0</v>
      </c>
      <c r="AX24" s="50">
        <f>IF(OR($I$6=1,$I$6=0),16.81-0.00692*AD24-0.27937*E24+$L$6,IF(I6=2,7.2936-0.006277*AD24+$L$6,0))</f>
        <v>0</v>
      </c>
      <c r="AY24" s="50">
        <f t="shared" si="7"/>
        <v>-1.1041557759492082</v>
      </c>
      <c r="AZ24" s="50">
        <f t="shared" si="8"/>
        <v>0.8349711189515627</v>
      </c>
      <c r="BA24" s="49">
        <f t="shared" si="9"/>
        <v>-0.2691846569976455</v>
      </c>
      <c r="BC24" s="65">
        <f t="shared" si="10"/>
        <v>333.2546470897849</v>
      </c>
      <c r="BD24" s="50">
        <f t="shared" si="11"/>
        <v>333.2546470897849</v>
      </c>
      <c r="BE24" s="49">
        <f t="shared" si="24"/>
        <v>333.2546470897849</v>
      </c>
      <c r="BG24" s="67">
        <f t="shared" si="25"/>
        <v>1</v>
      </c>
    </row>
    <row r="25" spans="2:59" ht="12.75">
      <c r="B25" s="48">
        <f t="shared" si="12"/>
        <v>0.29545454545454547</v>
      </c>
      <c r="C25" s="2">
        <v>400</v>
      </c>
      <c r="D25" s="2">
        <v>3720</v>
      </c>
      <c r="E25" s="49">
        <f t="shared" si="26"/>
        <v>80.39999999999996</v>
      </c>
      <c r="G25" s="48">
        <v>718.217</v>
      </c>
      <c r="H25" s="50">
        <v>1963.24</v>
      </c>
      <c r="I25" s="49">
        <f t="shared" si="0"/>
        <v>54.43181818181818</v>
      </c>
      <c r="K25" s="74">
        <v>-294.81376563</v>
      </c>
      <c r="L25">
        <v>1762.31878125</v>
      </c>
      <c r="M25" s="49">
        <f t="shared" si="27"/>
        <v>31.552272727272733</v>
      </c>
      <c r="O25" s="74">
        <v>-469.7495</v>
      </c>
      <c r="P25" s="76">
        <v>1930.90013672</v>
      </c>
      <c r="Q25" s="49">
        <v>32.6</v>
      </c>
      <c r="S25" s="74">
        <v>-113.496406983</v>
      </c>
      <c r="T25" s="76">
        <v>307.557606445</v>
      </c>
      <c r="U25" s="49">
        <v>70.7</v>
      </c>
      <c r="W25" s="48">
        <f t="shared" si="13"/>
        <v>493.896</v>
      </c>
      <c r="X25" s="50">
        <f t="shared" si="28"/>
        <v>493896</v>
      </c>
      <c r="Y25" s="50">
        <f t="shared" si="14"/>
        <v>1762.31878125</v>
      </c>
      <c r="Z25" s="50">
        <f t="shared" si="15"/>
        <v>-294.81376563</v>
      </c>
      <c r="AA25" s="55">
        <f t="shared" si="1"/>
        <v>0.01</v>
      </c>
      <c r="AB25" s="2"/>
      <c r="AC25" s="48">
        <f t="shared" si="16"/>
        <v>0.01</v>
      </c>
      <c r="AD25" s="50">
        <f t="shared" si="2"/>
        <v>276.82973300301825</v>
      </c>
      <c r="AE25" s="50">
        <f t="shared" si="17"/>
        <v>-0.001306123572245793</v>
      </c>
      <c r="AF25" s="57">
        <f t="shared" si="3"/>
        <v>2.5828723352889282E-14</v>
      </c>
      <c r="AG25" s="57">
        <f t="shared" si="4"/>
        <v>-2.582881828835346E-14</v>
      </c>
      <c r="AH25" s="57">
        <f t="shared" si="29"/>
        <v>5.714837441745354E-23</v>
      </c>
      <c r="AI25" s="57">
        <f t="shared" si="30"/>
        <v>1.0893441576246152E-22</v>
      </c>
      <c r="AJ25" s="57">
        <f t="shared" si="31"/>
        <v>5.1786041345007965E-23</v>
      </c>
      <c r="AK25" s="57">
        <f t="shared" si="18"/>
        <v>-6.429664489357683</v>
      </c>
      <c r="AL25" s="57">
        <f t="shared" si="19"/>
        <v>1.4287093604363387E-22</v>
      </c>
      <c r="AM25" s="58">
        <f t="shared" si="20"/>
        <v>2.5</v>
      </c>
      <c r="AN25" s="57">
        <f t="shared" si="21"/>
        <v>1.294651033625199E-22</v>
      </c>
      <c r="AO25" s="57">
        <f t="shared" si="32"/>
        <v>5.1786041345007965E-23</v>
      </c>
      <c r="AP25" s="57">
        <f t="shared" si="33"/>
        <v>-2.571865795743073</v>
      </c>
      <c r="AQ25" s="58">
        <f t="shared" si="22"/>
        <v>-2.571865795743073</v>
      </c>
      <c r="AR25" s="49">
        <f t="shared" si="5"/>
        <v>0</v>
      </c>
      <c r="AT25" s="61">
        <f t="shared" si="6"/>
        <v>3.373562840967169E-15</v>
      </c>
      <c r="AU25" s="62">
        <f t="shared" si="23"/>
        <v>3.3735504412224087E-15</v>
      </c>
      <c r="AW25" s="48">
        <f>IF(OR($I$6=1,$I$6=0),-15-0.012*AD25+$L$6,IF(I6=2,-5.31-0.007992*AD25+$L$6,0))</f>
        <v>0</v>
      </c>
      <c r="AX25" s="50">
        <f>IF(OR($I$6=1,$I$6=0),16.81-0.00692*AD25-0.27937*E25+$L$6,IF(I6=2,7.2936-0.006277*AD25+$L$6,0))</f>
        <v>0</v>
      </c>
      <c r="AY25" s="50">
        <f t="shared" si="7"/>
        <v>-1.481313507428049</v>
      </c>
      <c r="AZ25" s="50">
        <f t="shared" si="8"/>
        <v>0.8358470584922808</v>
      </c>
      <c r="BA25" s="49">
        <f t="shared" si="9"/>
        <v>-0.6454664489357682</v>
      </c>
      <c r="BC25" s="65">
        <f t="shared" si="10"/>
        <v>276.81973300301826</v>
      </c>
      <c r="BD25" s="50">
        <f t="shared" si="11"/>
        <v>276.81973300301826</v>
      </c>
      <c r="BE25" s="49">
        <f t="shared" si="24"/>
        <v>276.81973300301826</v>
      </c>
      <c r="BG25" s="67">
        <f t="shared" si="25"/>
        <v>1</v>
      </c>
    </row>
    <row r="26" spans="2:59" ht="12.75">
      <c r="B26" s="48">
        <f t="shared" si="12"/>
        <v>0.3181818181818182</v>
      </c>
      <c r="C26" s="2">
        <v>500</v>
      </c>
      <c r="D26" s="2">
        <v>3730</v>
      </c>
      <c r="E26" s="49">
        <f t="shared" si="26"/>
        <v>81.19999999999996</v>
      </c>
      <c r="G26" s="48">
        <v>621.243</v>
      </c>
      <c r="H26" s="50">
        <v>2222.07</v>
      </c>
      <c r="I26" s="49">
        <f t="shared" si="0"/>
        <v>53.10606060606061</v>
      </c>
      <c r="K26" s="74">
        <v>-392.34213476</v>
      </c>
      <c r="L26">
        <v>1861.70644922</v>
      </c>
      <c r="M26" s="49">
        <f t="shared" si="27"/>
        <v>33.34090909090909</v>
      </c>
      <c r="O26" s="74">
        <v>-430.73163672</v>
      </c>
      <c r="P26" s="76">
        <v>1917.32675195</v>
      </c>
      <c r="Q26" s="49">
        <v>33.9</v>
      </c>
      <c r="S26" s="74">
        <v>-91.748901367</v>
      </c>
      <c r="T26" s="76">
        <v>376.227203369</v>
      </c>
      <c r="U26" s="49">
        <v>71</v>
      </c>
      <c r="W26" s="48">
        <f t="shared" si="13"/>
        <v>531.888</v>
      </c>
      <c r="X26" s="50">
        <f t="shared" si="28"/>
        <v>531888</v>
      </c>
      <c r="Y26" s="50">
        <f t="shared" si="14"/>
        <v>1861.70644922</v>
      </c>
      <c r="Z26" s="50">
        <f t="shared" si="15"/>
        <v>-392.34213476</v>
      </c>
      <c r="AA26" s="55">
        <f t="shared" si="1"/>
        <v>0.01</v>
      </c>
      <c r="AB26" s="2"/>
      <c r="AC26" s="48">
        <f t="shared" si="16"/>
        <v>0.01</v>
      </c>
      <c r="AD26" s="50">
        <f t="shared" si="2"/>
        <v>234.02015357626055</v>
      </c>
      <c r="AE26" s="50">
        <f t="shared" si="17"/>
        <v>-0.0004906637739348637</v>
      </c>
      <c r="AF26" s="57">
        <f t="shared" si="3"/>
        <v>4.070192755362135E-15</v>
      </c>
      <c r="AG26" s="57">
        <f t="shared" si="4"/>
        <v>-4.070206152990693E-15</v>
      </c>
      <c r="AH26" s="57">
        <f t="shared" si="29"/>
        <v>5.1786041345007965E-23</v>
      </c>
      <c r="AI26" s="57">
        <f t="shared" si="30"/>
        <v>5.938681573331605E-23</v>
      </c>
      <c r="AJ26" s="57">
        <f t="shared" si="31"/>
        <v>7.60077438830809E-24</v>
      </c>
      <c r="AK26" s="57">
        <f t="shared" si="18"/>
        <v>-9.463711102222634</v>
      </c>
      <c r="AL26" s="57">
        <f t="shared" si="19"/>
        <v>1.294651033625199E-22</v>
      </c>
      <c r="AM26" s="58">
        <f t="shared" si="20"/>
        <v>2.5</v>
      </c>
      <c r="AN26" s="57">
        <f t="shared" si="21"/>
        <v>1.9001935970770223E-23</v>
      </c>
      <c r="AO26" s="57">
        <f t="shared" si="32"/>
        <v>7.60077438830809E-24</v>
      </c>
      <c r="AP26" s="57">
        <f t="shared" si="33"/>
        <v>-3.7854844408890536</v>
      </c>
      <c r="AQ26" s="58">
        <f t="shared" si="22"/>
        <v>-3.7854844408890536</v>
      </c>
      <c r="AR26" s="49">
        <f t="shared" si="5"/>
        <v>0</v>
      </c>
      <c r="AT26" s="61">
        <f t="shared" si="6"/>
        <v>1.9971027117193163E-16</v>
      </c>
      <c r="AU26" s="62">
        <f t="shared" si="23"/>
        <v>1.9970961379883265E-16</v>
      </c>
      <c r="AW26" s="48">
        <f>IF(OR($I$6=1,$I$6=0),-15-0.012*AD26+$L$6,IF(I6=2,-5.31-0.007992*AD26+$L$6,0))</f>
        <v>0</v>
      </c>
      <c r="AX26" s="50">
        <f>IF(OR($I$6=1,$I$6=0),16.81-0.00692*AD26-0.27937*E26+$L$6,IF(I6=2,7.2936-0.006277*AD26+$L$6,0))</f>
        <v>0</v>
      </c>
      <c r="AY26" s="50">
        <f t="shared" si="7"/>
        <v>-1.7852750155914432</v>
      </c>
      <c r="AZ26" s="50">
        <f t="shared" si="8"/>
        <v>0.8364039053691799</v>
      </c>
      <c r="BA26" s="49">
        <f t="shared" si="9"/>
        <v>-0.9488711102222633</v>
      </c>
      <c r="BC26" s="65">
        <f t="shared" si="10"/>
        <v>234.01015357626056</v>
      </c>
      <c r="BD26" s="50">
        <f t="shared" si="11"/>
        <v>234.01015357626056</v>
      </c>
      <c r="BE26" s="49">
        <f t="shared" si="24"/>
        <v>234.01015357626056</v>
      </c>
      <c r="BG26" s="67">
        <f t="shared" si="25"/>
        <v>1</v>
      </c>
    </row>
    <row r="27" spans="2:59" ht="12.75">
      <c r="B27" s="48">
        <f t="shared" si="12"/>
        <v>0.3409090909090909</v>
      </c>
      <c r="C27" s="2">
        <v>600</v>
      </c>
      <c r="D27" s="2">
        <v>3735</v>
      </c>
      <c r="E27" s="49">
        <f t="shared" si="26"/>
        <v>81.99999999999996</v>
      </c>
      <c r="G27" s="48">
        <v>552.613</v>
      </c>
      <c r="H27" s="50">
        <v>2486.46</v>
      </c>
      <c r="I27" s="49">
        <f t="shared" si="0"/>
        <v>51.78030303030303</v>
      </c>
      <c r="K27" s="74">
        <v>-419.77056738</v>
      </c>
      <c r="L27">
        <v>1952.8743877</v>
      </c>
      <c r="M27" s="49">
        <f t="shared" si="27"/>
        <v>35.12954545454546</v>
      </c>
      <c r="O27" s="74">
        <v>-396.21523535</v>
      </c>
      <c r="P27" s="76">
        <v>1880.49495215</v>
      </c>
      <c r="Q27" s="49">
        <v>35.2</v>
      </c>
      <c r="S27" s="74">
        <v>-119.61780371</v>
      </c>
      <c r="T27" s="76">
        <v>395.542432861</v>
      </c>
      <c r="U27" s="49">
        <v>71.4</v>
      </c>
      <c r="W27" s="48">
        <f t="shared" si="13"/>
        <v>569.88</v>
      </c>
      <c r="X27" s="50">
        <f t="shared" si="28"/>
        <v>569880</v>
      </c>
      <c r="Y27" s="50">
        <f t="shared" si="14"/>
        <v>1952.8743877</v>
      </c>
      <c r="Z27" s="50">
        <f t="shared" si="15"/>
        <v>-419.77056738</v>
      </c>
      <c r="AA27" s="55">
        <f t="shared" si="1"/>
        <v>0.01</v>
      </c>
      <c r="AB27" s="2"/>
      <c r="AC27" s="48">
        <f t="shared" si="16"/>
        <v>0.01</v>
      </c>
      <c r="AD27" s="50">
        <f t="shared" si="2"/>
        <v>239.54713680435157</v>
      </c>
      <c r="AE27" s="50">
        <f t="shared" si="17"/>
        <v>0.0001382099338887932</v>
      </c>
      <c r="AF27" s="57">
        <f t="shared" si="3"/>
        <v>3.181517569319265E-16</v>
      </c>
      <c r="AG27" s="57">
        <f t="shared" si="4"/>
        <v>-3.1815281994464754E-16</v>
      </c>
      <c r="AH27" s="57">
        <f t="shared" si="29"/>
        <v>7.60077438830809E-24</v>
      </c>
      <c r="AI27" s="57">
        <f t="shared" si="30"/>
        <v>9.30664153422283E-24</v>
      </c>
      <c r="AJ27" s="57">
        <f t="shared" si="31"/>
        <v>1.7058671459147404E-24</v>
      </c>
      <c r="AK27" s="57">
        <f t="shared" si="18"/>
        <v>-9.070000908555675</v>
      </c>
      <c r="AL27" s="57">
        <f t="shared" si="19"/>
        <v>1.9001935970770223E-23</v>
      </c>
      <c r="AM27" s="58">
        <f t="shared" si="20"/>
        <v>2.5</v>
      </c>
      <c r="AN27" s="57">
        <f t="shared" si="21"/>
        <v>4.264667864786851E-24</v>
      </c>
      <c r="AO27" s="57">
        <f t="shared" si="32"/>
        <v>1.7058671459147404E-24</v>
      </c>
      <c r="AP27" s="57">
        <f t="shared" si="33"/>
        <v>-3.62800036342227</v>
      </c>
      <c r="AQ27" s="58">
        <f t="shared" si="22"/>
        <v>-3.62800036342227</v>
      </c>
      <c r="AR27" s="49">
        <f t="shared" si="5"/>
        <v>0</v>
      </c>
      <c r="AT27" s="61">
        <f t="shared" si="6"/>
        <v>4.397188021108287E-18</v>
      </c>
      <c r="AU27" s="62">
        <f t="shared" si="23"/>
        <v>4.397173329216497E-18</v>
      </c>
      <c r="AW27" s="48">
        <f>IF(OR($I$6=1,$I$6=0),-15-0.012*AD27+$L$6,IF(I6=2,-5.31-0.007992*AD27+$L$6,0))</f>
        <v>0</v>
      </c>
      <c r="AX27" s="50">
        <f>IF(OR($I$6=1,$I$6=0),16.81-0.00692*AD27-0.27937*E27+$L$6,IF(I6=2,7.2936-0.006277*AD27+$L$6,0))</f>
        <v>0</v>
      </c>
      <c r="AY27" s="50">
        <f t="shared" si="7"/>
        <v>-1.7458373311038995</v>
      </c>
      <c r="AZ27" s="50">
        <f t="shared" si="8"/>
        <v>0.836337240248332</v>
      </c>
      <c r="BA27" s="49">
        <f t="shared" si="9"/>
        <v>-0.9095000908555675</v>
      </c>
      <c r="BC27" s="65">
        <f t="shared" si="10"/>
        <v>239.53713680435158</v>
      </c>
      <c r="BD27" s="50">
        <f t="shared" si="11"/>
        <v>239.53713680435158</v>
      </c>
      <c r="BE27" s="49">
        <f t="shared" si="24"/>
        <v>239.53713680435158</v>
      </c>
      <c r="BG27" s="67">
        <f t="shared" si="25"/>
        <v>1</v>
      </c>
    </row>
    <row r="28" spans="2:59" ht="12.75">
      <c r="B28" s="48">
        <f t="shared" si="12"/>
        <v>0.3636363636363636</v>
      </c>
      <c r="C28" s="2">
        <v>700</v>
      </c>
      <c r="D28" s="2">
        <v>3740</v>
      </c>
      <c r="E28" s="49">
        <f t="shared" si="26"/>
        <v>82.79999999999995</v>
      </c>
      <c r="G28" s="48">
        <v>476.599</v>
      </c>
      <c r="H28" s="50">
        <v>2716.23</v>
      </c>
      <c r="I28" s="49">
        <f t="shared" si="0"/>
        <v>50.45454545454545</v>
      </c>
      <c r="K28" s="74">
        <v>-385.74487305</v>
      </c>
      <c r="L28">
        <v>1882.35473633</v>
      </c>
      <c r="M28" s="49">
        <f t="shared" si="27"/>
        <v>36.91818181818182</v>
      </c>
      <c r="O28" s="74">
        <v>-383.01922363</v>
      </c>
      <c r="P28" s="76">
        <v>1801.77182129</v>
      </c>
      <c r="Q28" s="49">
        <v>36.6</v>
      </c>
      <c r="S28" s="74">
        <v>-136.18215649</v>
      </c>
      <c r="T28" s="76">
        <v>414.192003662</v>
      </c>
      <c r="U28" s="49">
        <v>71.7</v>
      </c>
      <c r="W28" s="48">
        <f t="shared" si="13"/>
        <v>607.872</v>
      </c>
      <c r="X28" s="50">
        <f t="shared" si="28"/>
        <v>607872</v>
      </c>
      <c r="Y28" s="50">
        <f t="shared" si="14"/>
        <v>1882.35473633</v>
      </c>
      <c r="Z28" s="50">
        <f t="shared" si="15"/>
        <v>-385.74487305</v>
      </c>
      <c r="AA28" s="55">
        <f t="shared" si="1"/>
        <v>0.01</v>
      </c>
      <c r="AB28" s="2"/>
      <c r="AC28" s="48">
        <f t="shared" si="16"/>
        <v>0.01</v>
      </c>
      <c r="AD28" s="50">
        <f t="shared" si="2"/>
        <v>244.52189719286662</v>
      </c>
      <c r="AE28" s="50">
        <f t="shared" si="17"/>
        <v>0.00020140971367377087</v>
      </c>
      <c r="AF28" s="57">
        <f t="shared" si="3"/>
        <v>6.667389628523614E-16</v>
      </c>
      <c r="AG28" s="57">
        <f t="shared" si="4"/>
        <v>-6.667412203160189E-16</v>
      </c>
      <c r="AH28" s="57">
        <f t="shared" si="29"/>
        <v>1.7058671459147404E-24</v>
      </c>
      <c r="AI28" s="57">
        <f t="shared" si="30"/>
        <v>3.0466650855024315E-24</v>
      </c>
      <c r="AJ28" s="57">
        <f t="shared" si="31"/>
        <v>1.3407979395876913E-24</v>
      </c>
      <c r="AK28" s="57">
        <f t="shared" si="18"/>
        <v>-8.715468867481137</v>
      </c>
      <c r="AL28" s="57">
        <f t="shared" si="19"/>
        <v>4.264667864786851E-24</v>
      </c>
      <c r="AM28" s="58">
        <f t="shared" si="20"/>
        <v>2.5</v>
      </c>
      <c r="AN28" s="57">
        <f t="shared" si="21"/>
        <v>3.3519948489692286E-24</v>
      </c>
      <c r="AO28" s="57">
        <f t="shared" si="32"/>
        <v>1.3407979395876915E-24</v>
      </c>
      <c r="AP28" s="57">
        <f t="shared" si="33"/>
        <v>-3.486187546992455</v>
      </c>
      <c r="AQ28" s="58">
        <f t="shared" si="22"/>
        <v>-3.486187546992455</v>
      </c>
      <c r="AR28" s="49">
        <f t="shared" si="5"/>
        <v>0</v>
      </c>
      <c r="AT28" s="61">
        <f t="shared" si="6"/>
        <v>1.3428815827834994E-17</v>
      </c>
      <c r="AU28" s="62">
        <f t="shared" si="23"/>
        <v>1.3428770360324107E-17</v>
      </c>
      <c r="AW28" s="48">
        <f>IF(OR($I$6=1,$I$6=0),-15-0.012*AD28+$L$6,IF(I6=2,-5.31-0.007992*AD28+$L$6,0))</f>
        <v>0</v>
      </c>
      <c r="AX28" s="50">
        <f>IF(OR($I$6=1,$I$6=0),16.81-0.00692*AD28-0.27937*E28+$L$6,IF(I6=2,7.2936-0.006277*AD28+$L$6,0))</f>
        <v>0</v>
      </c>
      <c r="AY28" s="50">
        <f t="shared" si="7"/>
        <v>-1.7103227967001589</v>
      </c>
      <c r="AZ28" s="50">
        <f t="shared" si="8"/>
        <v>0.836275909952045</v>
      </c>
      <c r="BA28" s="49">
        <f t="shared" si="9"/>
        <v>-0.8740468867481138</v>
      </c>
      <c r="BC28" s="65">
        <f t="shared" si="10"/>
        <v>244.51189719286663</v>
      </c>
      <c r="BD28" s="50">
        <f t="shared" si="11"/>
        <v>244.51189719286663</v>
      </c>
      <c r="BE28" s="49">
        <f t="shared" si="24"/>
        <v>244.51189719286663</v>
      </c>
      <c r="BG28" s="67">
        <f t="shared" si="25"/>
        <v>1</v>
      </c>
    </row>
    <row r="29" spans="2:59" ht="12.75">
      <c r="B29" s="48">
        <f t="shared" si="12"/>
        <v>0.3863636363636363</v>
      </c>
      <c r="C29" s="2">
        <v>900</v>
      </c>
      <c r="D29" s="2">
        <v>3800</v>
      </c>
      <c r="E29" s="49">
        <f t="shared" si="26"/>
        <v>83.59999999999995</v>
      </c>
      <c r="G29" s="48">
        <v>345.435</v>
      </c>
      <c r="H29" s="50">
        <v>2879.01</v>
      </c>
      <c r="I29" s="49">
        <f t="shared" si="0"/>
        <v>49.12878787878788</v>
      </c>
      <c r="K29" s="74">
        <v>-353.4295752</v>
      </c>
      <c r="L29">
        <v>1835.54869238</v>
      </c>
      <c r="M29" s="49">
        <f t="shared" si="27"/>
        <v>38.706818181818186</v>
      </c>
      <c r="O29" s="74">
        <v>-393.38879395</v>
      </c>
      <c r="P29" s="76">
        <v>1718.88293457</v>
      </c>
      <c r="Q29" s="49">
        <v>38</v>
      </c>
      <c r="S29" s="74">
        <v>-196.90606689</v>
      </c>
      <c r="T29" s="76">
        <v>420.703613281</v>
      </c>
      <c r="U29" s="49">
        <v>72</v>
      </c>
      <c r="W29" s="48">
        <f t="shared" si="13"/>
        <v>645.864</v>
      </c>
      <c r="X29" s="50">
        <f t="shared" si="28"/>
        <v>645864</v>
      </c>
      <c r="Y29" s="50">
        <f t="shared" si="14"/>
        <v>1835.54869238</v>
      </c>
      <c r="Z29" s="50">
        <f t="shared" si="15"/>
        <v>-353.4295752</v>
      </c>
      <c r="AA29" s="55">
        <f t="shared" si="1"/>
        <v>0.01</v>
      </c>
      <c r="AB29" s="2"/>
      <c r="AC29" s="48">
        <f t="shared" si="16"/>
        <v>0.01</v>
      </c>
      <c r="AD29" s="50">
        <f t="shared" si="2"/>
        <v>254.85105248813937</v>
      </c>
      <c r="AE29" s="50">
        <f t="shared" si="17"/>
        <v>8.192565520935164E-05</v>
      </c>
      <c r="AF29" s="57">
        <f t="shared" si="3"/>
        <v>1.0737724834745268E-16</v>
      </c>
      <c r="AG29" s="57">
        <f t="shared" si="4"/>
        <v>-1.0737762185535106E-16</v>
      </c>
      <c r="AH29" s="57">
        <f t="shared" si="29"/>
        <v>1.3407979395876913E-24</v>
      </c>
      <c r="AI29" s="57">
        <f t="shared" si="30"/>
        <v>6.887346965046147E-23</v>
      </c>
      <c r="AJ29" s="57">
        <f t="shared" si="31"/>
        <v>6.753267171087378E-23</v>
      </c>
      <c r="AK29" s="57">
        <f t="shared" si="18"/>
        <v>-7.980199131112594</v>
      </c>
      <c r="AL29" s="57">
        <f t="shared" si="19"/>
        <v>3.3519948489692286E-24</v>
      </c>
      <c r="AM29" s="58">
        <f t="shared" si="20"/>
        <v>2.5</v>
      </c>
      <c r="AN29" s="57">
        <f t="shared" si="21"/>
        <v>1.6883167927718444E-22</v>
      </c>
      <c r="AO29" s="57">
        <f t="shared" si="32"/>
        <v>6.753267171087378E-23</v>
      </c>
      <c r="AP29" s="57">
        <f t="shared" si="33"/>
        <v>-3.1920796524450377</v>
      </c>
      <c r="AQ29" s="58">
        <f t="shared" si="22"/>
        <v>-3.1920796524450377</v>
      </c>
      <c r="AR29" s="49">
        <f t="shared" si="5"/>
        <v>0</v>
      </c>
      <c r="AT29" s="61">
        <f t="shared" si="6"/>
        <v>8.796982025321633E-19</v>
      </c>
      <c r="AU29" s="62">
        <f t="shared" si="23"/>
        <v>8.796951425442331E-19</v>
      </c>
      <c r="AW29" s="48">
        <f>IF(OR($I$6=1,$I$6=0),-15-0.012*AD29+$L$6,IF(I6=2,-5.31-0.007992*AD29+$L$6,0))</f>
        <v>0</v>
      </c>
      <c r="AX29" s="50">
        <f>IF(OR($I$6=1,$I$6=0),16.81-0.00692*AD29-0.27937*E29+$L$6,IF(I6=2,7.2936-0.006277*AD29+$L$6,0))</f>
        <v>0</v>
      </c>
      <c r="AY29" s="50">
        <f t="shared" si="7"/>
        <v>-1.636664471459304</v>
      </c>
      <c r="AZ29" s="50">
        <f t="shared" si="8"/>
        <v>0.8361445583480446</v>
      </c>
      <c r="BA29" s="49">
        <f t="shared" si="9"/>
        <v>-0.8005199131112594</v>
      </c>
      <c r="BC29" s="65">
        <f t="shared" si="10"/>
        <v>254.84105248813938</v>
      </c>
      <c r="BD29" s="50">
        <f t="shared" si="11"/>
        <v>254.84105248813938</v>
      </c>
      <c r="BE29" s="49">
        <f t="shared" si="24"/>
        <v>254.84105248813938</v>
      </c>
      <c r="BG29" s="67">
        <f t="shared" si="25"/>
        <v>1</v>
      </c>
    </row>
    <row r="30" spans="2:59" ht="12.75">
      <c r="B30" s="48">
        <f t="shared" si="12"/>
        <v>0.409090909090909</v>
      </c>
      <c r="C30" s="2">
        <v>1250</v>
      </c>
      <c r="D30" s="2">
        <v>3950</v>
      </c>
      <c r="E30" s="49">
        <f t="shared" si="26"/>
        <v>84.39999999999995</v>
      </c>
      <c r="G30" s="48">
        <v>184.03</v>
      </c>
      <c r="H30" s="50">
        <v>2989.49</v>
      </c>
      <c r="I30" s="49">
        <f t="shared" si="0"/>
        <v>47.80303030303031</v>
      </c>
      <c r="K30" s="74">
        <v>-352.30664063</v>
      </c>
      <c r="L30">
        <v>1817.86108398</v>
      </c>
      <c r="M30" s="49">
        <f t="shared" si="27"/>
        <v>40.49545454545455</v>
      </c>
      <c r="O30" s="74">
        <v>-410.51086524</v>
      </c>
      <c r="P30" s="76">
        <v>1645.54507617</v>
      </c>
      <c r="Q30" s="49">
        <v>39.3</v>
      </c>
      <c r="S30" s="74">
        <v>-250.31840234</v>
      </c>
      <c r="T30" s="76">
        <v>418.909598145</v>
      </c>
      <c r="U30" s="49">
        <v>72.4</v>
      </c>
      <c r="W30" s="48">
        <f t="shared" si="13"/>
        <v>683.856</v>
      </c>
      <c r="X30" s="50">
        <f t="shared" si="28"/>
        <v>683856</v>
      </c>
      <c r="Y30" s="50">
        <f t="shared" si="14"/>
        <v>1817.86108398</v>
      </c>
      <c r="Z30" s="50">
        <f t="shared" si="15"/>
        <v>-352.30664063</v>
      </c>
      <c r="AA30" s="55">
        <f t="shared" si="1"/>
        <v>0.01</v>
      </c>
      <c r="AB30" s="2"/>
      <c r="AC30" s="48">
        <f t="shared" si="16"/>
        <v>0.01</v>
      </c>
      <c r="AD30" s="50">
        <f t="shared" si="2"/>
        <v>250.746936178294</v>
      </c>
      <c r="AE30" s="50">
        <f t="shared" si="17"/>
        <v>-0.0015507198360695546</v>
      </c>
      <c r="AF30" s="57">
        <f t="shared" si="3"/>
        <v>3.888293751969544E-14</v>
      </c>
      <c r="AG30" s="57">
        <f t="shared" si="4"/>
        <v>-3.8883071341421653E-14</v>
      </c>
      <c r="AH30" s="57">
        <f t="shared" si="29"/>
        <v>6.753267171087378E-23</v>
      </c>
      <c r="AI30" s="57">
        <f t="shared" si="30"/>
        <v>1.3491729823654283E-22</v>
      </c>
      <c r="AJ30" s="57">
        <f t="shared" si="31"/>
        <v>6.738462652566904E-23</v>
      </c>
      <c r="AK30" s="57">
        <f t="shared" si="18"/>
        <v>-8.272095377816697</v>
      </c>
      <c r="AL30" s="57">
        <f t="shared" si="19"/>
        <v>1.6883167927718444E-22</v>
      </c>
      <c r="AM30" s="58">
        <f t="shared" si="20"/>
        <v>2.5</v>
      </c>
      <c r="AN30" s="57">
        <f t="shared" si="21"/>
        <v>1.684615663141726E-22</v>
      </c>
      <c r="AO30" s="57">
        <f t="shared" si="32"/>
        <v>6.738462652566904E-23</v>
      </c>
      <c r="AP30" s="57">
        <f t="shared" si="33"/>
        <v>-3.308838151126679</v>
      </c>
      <c r="AQ30" s="58">
        <f t="shared" si="22"/>
        <v>-3.308838151126679</v>
      </c>
      <c r="AR30" s="49">
        <f t="shared" si="5"/>
        <v>0</v>
      </c>
      <c r="AT30" s="61">
        <f t="shared" si="6"/>
        <v>6.029675001645019E-15</v>
      </c>
      <c r="AU30" s="62">
        <f t="shared" si="23"/>
        <v>6.0296542496444845E-15</v>
      </c>
      <c r="AW30" s="48">
        <f>IF(OR($I$6=1,$I$6=0),-15-0.012*AD30+$L$6,IF(I6=2,-5.31-0.007992*AD30+$L$6,0))</f>
        <v>0</v>
      </c>
      <c r="AX30" s="50">
        <f>IF(OR($I$6=1,$I$6=0),16.81-0.00692*AD30-0.27937*E30+$L$6,IF(I6=2,7.2936-0.006277*AD30+$L$6,0))</f>
        <v>0</v>
      </c>
      <c r="AY30" s="50">
        <f t="shared" si="7"/>
        <v>-1.6659069345919402</v>
      </c>
      <c r="AZ30" s="50">
        <f t="shared" si="8"/>
        <v>0.8361973968102704</v>
      </c>
      <c r="BA30" s="49">
        <f t="shared" si="9"/>
        <v>-0.8297095377816698</v>
      </c>
      <c r="BC30" s="65">
        <f t="shared" si="10"/>
        <v>250.736936178294</v>
      </c>
      <c r="BD30" s="50">
        <f t="shared" si="11"/>
        <v>250.736936178294</v>
      </c>
      <c r="BE30" s="49">
        <f t="shared" si="24"/>
        <v>250.736936178294</v>
      </c>
      <c r="BG30" s="67">
        <f t="shared" si="25"/>
        <v>1</v>
      </c>
    </row>
    <row r="31" spans="2:59" ht="12.75">
      <c r="B31" s="48">
        <f t="shared" si="12"/>
        <v>0.4318181818181817</v>
      </c>
      <c r="C31" s="2">
        <v>1850</v>
      </c>
      <c r="D31" s="2">
        <v>4020</v>
      </c>
      <c r="E31" s="49">
        <v>85</v>
      </c>
      <c r="G31" s="48">
        <v>31.9247</v>
      </c>
      <c r="H31" s="50">
        <v>3069.93</v>
      </c>
      <c r="I31" s="49">
        <f t="shared" si="0"/>
        <v>46.477272727272734</v>
      </c>
      <c r="K31" s="74">
        <v>-505.8837207</v>
      </c>
      <c r="L31">
        <v>1807.69653518</v>
      </c>
      <c r="M31" s="49">
        <f t="shared" si="27"/>
        <v>42.284090909090914</v>
      </c>
      <c r="O31" s="74">
        <v>-434.93302832</v>
      </c>
      <c r="P31" s="76">
        <v>1593.6942666</v>
      </c>
      <c r="Q31" s="49">
        <v>40.7</v>
      </c>
      <c r="S31" s="74">
        <v>-270.64368627</v>
      </c>
      <c r="T31" s="76">
        <v>441.232095459</v>
      </c>
      <c r="U31" s="49">
        <v>72.7</v>
      </c>
      <c r="W31" s="48">
        <f t="shared" si="13"/>
        <v>721.848</v>
      </c>
      <c r="X31" s="50">
        <f t="shared" si="28"/>
        <v>721848</v>
      </c>
      <c r="Y31" s="50">
        <f t="shared" si="14"/>
        <v>1807.69653518</v>
      </c>
      <c r="Z31" s="50">
        <f t="shared" si="15"/>
        <v>-505.8837207</v>
      </c>
      <c r="AA31" s="55">
        <f t="shared" si="1"/>
        <v>0.01</v>
      </c>
      <c r="AB31" s="2"/>
      <c r="AC31" s="48">
        <f t="shared" si="16"/>
        <v>0.01</v>
      </c>
      <c r="AD31" s="50">
        <f t="shared" si="2"/>
        <v>137.02115646423033</v>
      </c>
      <c r="AE31" s="50">
        <f t="shared" si="17"/>
        <v>3.08731291141027E-05</v>
      </c>
      <c r="AF31" s="57">
        <f t="shared" si="3"/>
        <v>2.1902670638017655E-17</v>
      </c>
      <c r="AG31" s="57">
        <f t="shared" si="4"/>
        <v>-2.1902723680182588E-17</v>
      </c>
      <c r="AH31" s="57">
        <f t="shared" si="29"/>
        <v>6.738462652566904E-23</v>
      </c>
      <c r="AI31" s="57">
        <f t="shared" si="30"/>
        <v>1.9459524874963003E-22</v>
      </c>
      <c r="AJ31" s="57">
        <f t="shared" si="31"/>
        <v>1.2721062222396097E-22</v>
      </c>
      <c r="AK31" s="57">
        <f t="shared" si="18"/>
        <v>-15.873696951190928</v>
      </c>
      <c r="AL31" s="57">
        <f t="shared" si="19"/>
        <v>1.684615663141726E-22</v>
      </c>
      <c r="AM31" s="58">
        <f t="shared" si="20"/>
        <v>2.5</v>
      </c>
      <c r="AN31" s="57">
        <f t="shared" si="21"/>
        <v>3.1802655555990244E-22</v>
      </c>
      <c r="AO31" s="57">
        <f t="shared" si="32"/>
        <v>1.2721062222396097E-22</v>
      </c>
      <c r="AP31" s="57">
        <f t="shared" si="33"/>
        <v>-6.349478780476371</v>
      </c>
      <c r="AQ31" s="58">
        <f>AO31*AQ32+AP31</f>
        <v>-6.349478780476371</v>
      </c>
      <c r="AR31" s="49">
        <f t="shared" si="5"/>
        <v>0</v>
      </c>
      <c r="AT31" s="61">
        <f t="shared" si="6"/>
        <v>6.762056161287917E-20</v>
      </c>
      <c r="AU31" s="62">
        <f t="shared" si="23"/>
        <v>6.762039785511852E-20</v>
      </c>
      <c r="AW31" s="48">
        <f>IF(OR($I$6=1,$I$6=0),-15-0.012*AD31+$L$6,IF(I6=2,-5.31-0.007992*AD31+$L$6,0))</f>
        <v>0</v>
      </c>
      <c r="AX31" s="50">
        <f>IF(OR($I$6=1,$I$6=0),16.81-0.00692*AD31-0.27937*E31+$L$6,IF(I6=2,7.2936-0.006277*AD31+$L$6,0))</f>
        <v>0</v>
      </c>
      <c r="AY31" s="50">
        <f t="shared" si="7"/>
        <v>-2.427190820799348</v>
      </c>
      <c r="AZ31" s="50">
        <f t="shared" si="8"/>
        <v>0.8373211256802553</v>
      </c>
      <c r="BA31" s="49">
        <f t="shared" si="9"/>
        <v>-1.5898696951190927</v>
      </c>
      <c r="BC31" s="65">
        <f t="shared" si="10"/>
        <v>137.01115646423034</v>
      </c>
      <c r="BD31" s="50">
        <f t="shared" si="11"/>
        <v>137.01115646423034</v>
      </c>
      <c r="BE31" s="49">
        <f t="shared" si="24"/>
        <v>137.01115646423034</v>
      </c>
      <c r="BG31" s="67">
        <f t="shared" si="25"/>
        <v>1</v>
      </c>
    </row>
    <row r="32" spans="2:59" ht="12.75">
      <c r="B32" s="48">
        <f t="shared" si="12"/>
        <v>0.4545454545454544</v>
      </c>
      <c r="C32" s="2">
        <v>2000</v>
      </c>
      <c r="D32" s="2">
        <v>4000</v>
      </c>
      <c r="E32" s="49">
        <f>E31-1</f>
        <v>84</v>
      </c>
      <c r="G32" s="48">
        <v>-75.7639</v>
      </c>
      <c r="H32" s="50">
        <v>3141.31</v>
      </c>
      <c r="I32" s="49">
        <f t="shared" si="0"/>
        <v>45.151515151515156</v>
      </c>
      <c r="K32" s="74">
        <v>-350.92976563</v>
      </c>
      <c r="L32">
        <v>1822.72505078</v>
      </c>
      <c r="M32" s="49">
        <f t="shared" si="27"/>
        <v>44.07272727272728</v>
      </c>
      <c r="O32" s="74">
        <v>-436.366333</v>
      </c>
      <c r="P32" s="76">
        <v>1566.41259766</v>
      </c>
      <c r="Q32" s="49">
        <v>42</v>
      </c>
      <c r="S32" s="74">
        <v>-308.25906372</v>
      </c>
      <c r="T32" s="76">
        <v>428.025482178</v>
      </c>
      <c r="U32" s="49">
        <v>73</v>
      </c>
      <c r="W32" s="48">
        <f t="shared" si="13"/>
        <v>759.84</v>
      </c>
      <c r="X32" s="50">
        <f t="shared" si="28"/>
        <v>759840</v>
      </c>
      <c r="Y32" s="50">
        <f t="shared" si="14"/>
        <v>1822.72505078</v>
      </c>
      <c r="Z32" s="50">
        <f t="shared" si="15"/>
        <v>-350.92976563</v>
      </c>
      <c r="AA32" s="55">
        <f t="shared" si="1"/>
        <v>0.01</v>
      </c>
      <c r="AB32" s="2"/>
      <c r="AC32" s="48">
        <f t="shared" si="16"/>
        <v>0.01</v>
      </c>
      <c r="AD32" s="50">
        <f t="shared" si="2"/>
        <v>253.09280002089997</v>
      </c>
      <c r="AE32" s="50">
        <f t="shared" si="17"/>
        <v>0.0021374476889733564</v>
      </c>
      <c r="AF32" s="57">
        <f t="shared" si="3"/>
        <v>7.342376406201782E-14</v>
      </c>
      <c r="AG32" s="57">
        <f t="shared" si="4"/>
        <v>-7.342401830614673E-14</v>
      </c>
      <c r="AH32" s="57">
        <f t="shared" si="29"/>
        <v>1.2721062222396097E-22</v>
      </c>
      <c r="AI32" s="57">
        <f t="shared" si="30"/>
        <v>2.550708335247958E-22</v>
      </c>
      <c r="AJ32" s="57">
        <f t="shared" si="31"/>
        <v>1.2786021130083485E-22</v>
      </c>
      <c r="AK32" s="57">
        <f t="shared" si="18"/>
        <v>-8.10519666444162</v>
      </c>
      <c r="AL32" s="57">
        <f t="shared" si="19"/>
        <v>3.1802655555990244E-22</v>
      </c>
      <c r="AM32" s="58">
        <f t="shared" si="20"/>
        <v>2.5</v>
      </c>
      <c r="AN32" s="57">
        <f t="shared" si="21"/>
        <v>3.196505282520871E-22</v>
      </c>
      <c r="AO32" s="57">
        <f t="shared" si="32"/>
        <v>1.2786021130083485E-22</v>
      </c>
      <c r="AP32" s="57">
        <f t="shared" si="33"/>
        <v>-3.242078665776648</v>
      </c>
      <c r="AQ32" s="58">
        <f aca="true" t="shared" si="34" ref="AQ32:AQ51">AO32*AQ33+AP32</f>
        <v>-3.242078665776648</v>
      </c>
      <c r="AR32" s="49">
        <f t="shared" si="5"/>
        <v>0</v>
      </c>
      <c r="AT32" s="61">
        <f t="shared" si="6"/>
        <v>1.5693999824361075E-14</v>
      </c>
      <c r="AU32" s="62">
        <f t="shared" si="23"/>
        <v>1.5693945481008496E-14</v>
      </c>
      <c r="AW32" s="48">
        <f>IF(OR($I$6=1,$I$6=0),-15-0.012*AD32+$L$6,IF(I6=2,-5.31-0.007992*AD32+$L$6,0))</f>
        <v>0</v>
      </c>
      <c r="AX32" s="50">
        <f>IF(OR($I$6=1,$I$6=0),16.81-0.00692*AD32-0.27937*E32+$L$6,IF(I6=2,7.2936-0.006277*AD32+$L$6,0))</f>
        <v>0</v>
      </c>
      <c r="AY32" s="50">
        <f t="shared" si="7"/>
        <v>-1.6491869660405094</v>
      </c>
      <c r="AZ32" s="50">
        <f t="shared" si="8"/>
        <v>0.8361672995963474</v>
      </c>
      <c r="BA32" s="49">
        <f t="shared" si="9"/>
        <v>-0.813019666444162</v>
      </c>
      <c r="BC32" s="65">
        <f t="shared" si="10"/>
        <v>253.08280002089998</v>
      </c>
      <c r="BD32" s="50">
        <f t="shared" si="11"/>
        <v>253.08280002089998</v>
      </c>
      <c r="BE32" s="49">
        <f t="shared" si="24"/>
        <v>253.08280002089998</v>
      </c>
      <c r="BG32" s="67">
        <f t="shared" si="25"/>
        <v>1</v>
      </c>
    </row>
    <row r="33" spans="2:59" ht="12.75">
      <c r="B33" s="48">
        <f t="shared" si="12"/>
        <v>0.4772727272727271</v>
      </c>
      <c r="C33" s="2">
        <v>1500</v>
      </c>
      <c r="D33" s="2">
        <v>3850</v>
      </c>
      <c r="E33" s="49">
        <f aca="true" t="shared" si="35" ref="E33:E51">E32-1</f>
        <v>83</v>
      </c>
      <c r="G33" s="48">
        <v>-56.0242</v>
      </c>
      <c r="H33" s="50">
        <v>3210.37</v>
      </c>
      <c r="I33" s="49">
        <f t="shared" si="0"/>
        <v>43.825757575757585</v>
      </c>
      <c r="K33" s="74">
        <v>-297.71923828</v>
      </c>
      <c r="L33">
        <v>1851.21132422</v>
      </c>
      <c r="M33" s="49">
        <f t="shared" si="27"/>
        <v>45.86136363636364</v>
      </c>
      <c r="O33" s="74">
        <v>-430.16265235</v>
      </c>
      <c r="P33" s="76">
        <v>1548.10605566</v>
      </c>
      <c r="Q33" s="49">
        <v>43.4</v>
      </c>
      <c r="S33" s="74">
        <v>-344.35515722</v>
      </c>
      <c r="T33" s="76">
        <v>394.447438477</v>
      </c>
      <c r="U33" s="49">
        <v>73.4</v>
      </c>
      <c r="W33" s="48">
        <f>X33/1000</f>
        <v>797.832</v>
      </c>
      <c r="X33" s="50">
        <f t="shared" si="28"/>
        <v>797832</v>
      </c>
      <c r="Y33" s="50">
        <f t="shared" si="14"/>
        <v>1851.21132422</v>
      </c>
      <c r="Z33" s="50">
        <f t="shared" si="15"/>
        <v>-297.71923828</v>
      </c>
      <c r="AA33" s="55">
        <f t="shared" si="1"/>
        <v>0.01</v>
      </c>
      <c r="AB33" s="2"/>
      <c r="AC33" s="48">
        <f t="shared" si="16"/>
        <v>0.01</v>
      </c>
      <c r="AD33" s="50">
        <f t="shared" si="2"/>
        <v>299.43298166318186</v>
      </c>
      <c r="AE33" s="50">
        <f t="shared" si="17"/>
        <v>-0.00016632437426144725</v>
      </c>
      <c r="AF33" s="57">
        <f t="shared" si="3"/>
        <v>3.9694587157671224E-16</v>
      </c>
      <c r="AG33" s="57">
        <f t="shared" si="4"/>
        <v>-3.9694741104851876E-16</v>
      </c>
      <c r="AH33" s="57">
        <f t="shared" si="29"/>
        <v>1.2786021130083485E-22</v>
      </c>
      <c r="AI33" s="57">
        <f t="shared" si="30"/>
        <v>1.8836023613791804E-22</v>
      </c>
      <c r="AJ33" s="57">
        <f t="shared" si="31"/>
        <v>6.050002483708319E-23</v>
      </c>
      <c r="AK33" s="57">
        <f t="shared" si="18"/>
        <v>-4.874500894055356</v>
      </c>
      <c r="AL33" s="57">
        <f t="shared" si="19"/>
        <v>3.196505282520871E-22</v>
      </c>
      <c r="AM33" s="58">
        <f t="shared" si="20"/>
        <v>2.5</v>
      </c>
      <c r="AN33" s="57">
        <f t="shared" si="21"/>
        <v>1.5125006209270798E-22</v>
      </c>
      <c r="AO33" s="57">
        <f t="shared" si="32"/>
        <v>6.050002483708319E-23</v>
      </c>
      <c r="AP33" s="57">
        <f t="shared" si="33"/>
        <v>-1.9498003576221425</v>
      </c>
      <c r="AQ33" s="58">
        <f t="shared" si="34"/>
        <v>-1.9498003576221425</v>
      </c>
      <c r="AR33" s="49">
        <f t="shared" si="5"/>
        <v>0</v>
      </c>
      <c r="AT33" s="61">
        <f t="shared" si="6"/>
        <v>6.602202975734637E-18</v>
      </c>
      <c r="AU33" s="62">
        <f t="shared" si="23"/>
        <v>6.602177370566147E-18</v>
      </c>
      <c r="AW33" s="48">
        <f>IF(OR($I$6=1,$I$6=0),-15-0.012*AD33+$L$6,IF(I6=2,-5.31-0.007992*AD33+$L$6,0))</f>
        <v>0</v>
      </c>
      <c r="AX33" s="50">
        <f>IF(OR($I$6=1,$I$6=0),16.81-0.00692*AD33-0.27937*E33+$L$6,IF(I6=2,7.2936-0.006277*AD33+$L$6,0))</f>
        <v>0</v>
      </c>
      <c r="AY33" s="50">
        <f t="shared" si="7"/>
        <v>-1.32546566421665</v>
      </c>
      <c r="AZ33" s="50">
        <f t="shared" si="8"/>
        <v>0.8355155748111145</v>
      </c>
      <c r="BA33" s="49">
        <f t="shared" si="9"/>
        <v>-0.4899500894055355</v>
      </c>
      <c r="BC33" s="65">
        <f t="shared" si="10"/>
        <v>299.4229816631819</v>
      </c>
      <c r="BD33" s="50">
        <f t="shared" si="11"/>
        <v>299.4229816631819</v>
      </c>
      <c r="BE33" s="49">
        <f t="shared" si="24"/>
        <v>299.4229816631819</v>
      </c>
      <c r="BG33" s="67">
        <f t="shared" si="25"/>
        <v>1</v>
      </c>
    </row>
    <row r="34" spans="2:59" ht="12.75">
      <c r="B34" s="48">
        <f t="shared" si="12"/>
        <v>0.49999999999999983</v>
      </c>
      <c r="C34" s="2">
        <v>1250</v>
      </c>
      <c r="D34" s="2">
        <v>3760</v>
      </c>
      <c r="E34" s="49">
        <f t="shared" si="35"/>
        <v>82</v>
      </c>
      <c r="G34" s="48">
        <v>35.8462</v>
      </c>
      <c r="H34" s="50">
        <v>3274.68</v>
      </c>
      <c r="I34" s="49">
        <f t="shared" si="0"/>
        <v>42.500000000000014</v>
      </c>
      <c r="K34" s="74">
        <v>-397.87243652</v>
      </c>
      <c r="L34">
        <v>1899.23433496</v>
      </c>
      <c r="M34" s="49">
        <f t="shared" si="27"/>
        <v>47.650000000000006</v>
      </c>
      <c r="O34" s="74">
        <v>-365.0900752</v>
      </c>
      <c r="P34" s="76">
        <v>1579.62970898</v>
      </c>
      <c r="Q34" s="49">
        <v>44.7</v>
      </c>
      <c r="S34" s="74">
        <v>-215.6981853</v>
      </c>
      <c r="T34" s="76">
        <v>383.422251221</v>
      </c>
      <c r="U34" s="49">
        <v>73.7</v>
      </c>
      <c r="W34" s="48">
        <f t="shared" si="13"/>
        <v>835.824</v>
      </c>
      <c r="X34" s="50">
        <f t="shared" si="28"/>
        <v>835824</v>
      </c>
      <c r="Y34" s="50">
        <f t="shared" si="14"/>
        <v>1899.23433496</v>
      </c>
      <c r="Z34" s="50">
        <f>IF($I$6=1,C34,IF($I$6=2,G34,IF($I$6=3,K34,IF($I$6=4,O34,IF($I$6=5,S34,0)))))</f>
        <v>-397.87243652</v>
      </c>
      <c r="AA34" s="55">
        <f t="shared" si="1"/>
        <v>0.01</v>
      </c>
      <c r="AB34" s="2"/>
      <c r="AC34" s="48">
        <f t="shared" si="16"/>
        <v>0.01</v>
      </c>
      <c r="AD34" s="50">
        <f t="shared" si="2"/>
        <v>240.45480876701816</v>
      </c>
      <c r="AE34" s="50">
        <f t="shared" si="17"/>
        <v>-0.001441676764784294</v>
      </c>
      <c r="AF34" s="57">
        <f t="shared" si="3"/>
        <v>3.4533039214267737E-14</v>
      </c>
      <c r="AG34" s="57">
        <f t="shared" si="4"/>
        <v>-3.453315487761099E-14</v>
      </c>
      <c r="AH34" s="57">
        <f t="shared" si="29"/>
        <v>6.050002483708319E-23</v>
      </c>
      <c r="AI34" s="57">
        <f t="shared" si="30"/>
        <v>1.2348324819358118E-22</v>
      </c>
      <c r="AJ34" s="57">
        <f t="shared" si="31"/>
        <v>6.298322335649797E-23</v>
      </c>
      <c r="AK34" s="57">
        <f t="shared" si="18"/>
        <v>-9.005316110687536</v>
      </c>
      <c r="AL34" s="57">
        <f t="shared" si="19"/>
        <v>1.5125006209270798E-22</v>
      </c>
      <c r="AM34" s="58">
        <f t="shared" si="20"/>
        <v>2.5</v>
      </c>
      <c r="AN34" s="57">
        <f t="shared" si="21"/>
        <v>1.5745805839124493E-22</v>
      </c>
      <c r="AO34" s="57">
        <f t="shared" si="32"/>
        <v>6.298322335649797E-23</v>
      </c>
      <c r="AP34" s="57">
        <f t="shared" si="33"/>
        <v>-3.6021264442750143</v>
      </c>
      <c r="AQ34" s="58">
        <f t="shared" si="34"/>
        <v>-3.6021264442750143</v>
      </c>
      <c r="AR34" s="49">
        <f t="shared" si="5"/>
        <v>0</v>
      </c>
      <c r="AT34" s="61">
        <f t="shared" si="6"/>
        <v>4.978564700174917E-15</v>
      </c>
      <c r="AU34" s="62">
        <f t="shared" si="23"/>
        <v>4.978548025259467E-15</v>
      </c>
      <c r="AW34" s="48">
        <f>IF(OR($I$6=1,$I$6=0),-15-0.012*AD34+$L$6,IF(I6=2,-5.31-0.007992*AD34+$L$6,0))</f>
        <v>0</v>
      </c>
      <c r="AX34" s="50">
        <f>IF(OR($I$6=1,$I$6=0),16.81-0.00692*AD34-0.27937*E34+$L$6,IF(I6=2,7.2936-0.006277*AD34+$L$6,0))</f>
        <v>0</v>
      </c>
      <c r="AY34" s="50">
        <f t="shared" si="7"/>
        <v>-1.7393577549566526</v>
      </c>
      <c r="AZ34" s="50">
        <f t="shared" si="8"/>
        <v>0.8363261438878988</v>
      </c>
      <c r="BA34" s="49">
        <f t="shared" si="9"/>
        <v>-0.9030316110687537</v>
      </c>
      <c r="BC34" s="65">
        <f t="shared" si="10"/>
        <v>240.44480876701817</v>
      </c>
      <c r="BD34" s="50">
        <f t="shared" si="11"/>
        <v>240.44480876701817</v>
      </c>
      <c r="BE34" s="49">
        <f t="shared" si="24"/>
        <v>240.44480876701817</v>
      </c>
      <c r="BG34" s="67">
        <f t="shared" si="25"/>
        <v>1</v>
      </c>
    </row>
    <row r="35" spans="2:59" ht="12.75">
      <c r="B35" s="48">
        <f t="shared" si="12"/>
        <v>0.5227272727272726</v>
      </c>
      <c r="C35" s="2">
        <v>1100</v>
      </c>
      <c r="D35" s="2">
        <v>3710</v>
      </c>
      <c r="E35" s="49">
        <f t="shared" si="35"/>
        <v>81</v>
      </c>
      <c r="G35" s="48">
        <v>106.573</v>
      </c>
      <c r="H35" s="50">
        <v>3333.28</v>
      </c>
      <c r="I35" s="49">
        <f t="shared" si="0"/>
        <v>41.174242424242436</v>
      </c>
      <c r="K35" s="74">
        <v>-484.47159179</v>
      </c>
      <c r="L35">
        <v>1942.30668555</v>
      </c>
      <c r="M35" s="49">
        <f t="shared" si="27"/>
        <v>49.43863636363637</v>
      </c>
      <c r="O35" s="74">
        <v>-379.28527832</v>
      </c>
      <c r="P35" s="76">
        <v>1576.94995117</v>
      </c>
      <c r="Q35" s="49">
        <v>46</v>
      </c>
      <c r="S35" s="74">
        <v>-38.461853028</v>
      </c>
      <c r="T35" s="76">
        <v>623.606811523</v>
      </c>
      <c r="U35" s="49">
        <v>74</v>
      </c>
      <c r="W35" s="48">
        <f t="shared" si="13"/>
        <v>873.816</v>
      </c>
      <c r="X35" s="50">
        <f t="shared" si="28"/>
        <v>873816</v>
      </c>
      <c r="Y35" s="50">
        <f t="shared" si="14"/>
        <v>1942.30668555</v>
      </c>
      <c r="Z35" s="50">
        <f t="shared" si="15"/>
        <v>-484.47159179</v>
      </c>
      <c r="AA35" s="55">
        <f t="shared" si="1"/>
        <v>0.01</v>
      </c>
      <c r="AB35" s="2"/>
      <c r="AC35" s="48">
        <f t="shared" si="16"/>
        <v>0.01</v>
      </c>
      <c r="AD35" s="50">
        <f t="shared" si="2"/>
        <v>189.88861436781207</v>
      </c>
      <c r="AE35" s="50">
        <f t="shared" si="17"/>
        <v>-0.0003086450236505533</v>
      </c>
      <c r="AF35" s="57">
        <f t="shared" si="3"/>
        <v>1.8306337242998205E-15</v>
      </c>
      <c r="AG35" s="57">
        <f t="shared" si="4"/>
        <v>-1.830639025552458E-15</v>
      </c>
      <c r="AH35" s="57">
        <f t="shared" si="29"/>
        <v>6.298322335649797E-23</v>
      </c>
      <c r="AI35" s="57">
        <f t="shared" si="30"/>
        <v>1.0318537908170022E-22</v>
      </c>
      <c r="AJ35" s="57">
        <f t="shared" si="31"/>
        <v>4.020215572520226E-23</v>
      </c>
      <c r="AK35" s="57">
        <f t="shared" si="18"/>
        <v>-12.549495423687999</v>
      </c>
      <c r="AL35" s="57">
        <f t="shared" si="19"/>
        <v>1.5745805839124493E-22</v>
      </c>
      <c r="AM35" s="58">
        <f t="shared" si="20"/>
        <v>2.5</v>
      </c>
      <c r="AN35" s="57">
        <f t="shared" si="21"/>
        <v>1.0050538931300565E-22</v>
      </c>
      <c r="AO35" s="57">
        <f t="shared" si="32"/>
        <v>4.020215572520226E-23</v>
      </c>
      <c r="AP35" s="57">
        <f t="shared" si="33"/>
        <v>-5.0197981694752</v>
      </c>
      <c r="AQ35" s="58">
        <f t="shared" si="34"/>
        <v>-5.0197981694752</v>
      </c>
      <c r="AR35" s="49">
        <f t="shared" si="5"/>
        <v>0</v>
      </c>
      <c r="AT35" s="61">
        <f t="shared" si="6"/>
        <v>5.650176253372643E-17</v>
      </c>
      <c r="AU35" s="62">
        <f t="shared" si="23"/>
        <v>5.650159891320185E-17</v>
      </c>
      <c r="AW35" s="48">
        <f>IF(OR($I$6=1,$I$6=0),-15-0.012*AD35+$L$6,IF(I6=2,-5.31-0.007992*AD35+$L$6,0))</f>
        <v>0</v>
      </c>
      <c r="AX35" s="50">
        <f>IF(OR($I$6=1,$I$6=0),16.81-0.00692*AD35-0.27937*E35+$L$6,IF(I6=2,7.2936-0.006277*AD35+$L$6,0))</f>
        <v>0</v>
      </c>
      <c r="AY35" s="50">
        <f t="shared" si="7"/>
        <v>-2.0943300886589147</v>
      </c>
      <c r="AZ35" s="50">
        <f t="shared" si="8"/>
        <v>0.8368805462901148</v>
      </c>
      <c r="BA35" s="49">
        <f t="shared" si="9"/>
        <v>-1.2574495423688</v>
      </c>
      <c r="BC35" s="65">
        <f t="shared" si="10"/>
        <v>189.87861436781208</v>
      </c>
      <c r="BD35" s="50">
        <f t="shared" si="11"/>
        <v>189.87861436781208</v>
      </c>
      <c r="BE35" s="49">
        <f t="shared" si="24"/>
        <v>189.87861436781208</v>
      </c>
      <c r="BG35" s="67">
        <f t="shared" si="25"/>
        <v>1</v>
      </c>
    </row>
    <row r="36" spans="2:59" ht="12.75">
      <c r="B36" s="48">
        <f t="shared" si="12"/>
        <v>0.5454545454545453</v>
      </c>
      <c r="C36" s="2">
        <v>1000</v>
      </c>
      <c r="D36" s="2">
        <v>3580</v>
      </c>
      <c r="E36" s="49">
        <f t="shared" si="35"/>
        <v>80</v>
      </c>
      <c r="G36" s="48">
        <v>94.9412</v>
      </c>
      <c r="H36" s="50">
        <v>3376.35</v>
      </c>
      <c r="I36" s="49">
        <f t="shared" si="0"/>
        <v>39.84848484848486</v>
      </c>
      <c r="K36" s="74">
        <v>-449.67502735</v>
      </c>
      <c r="L36">
        <v>1949.4564707</v>
      </c>
      <c r="M36" s="49">
        <f t="shared" si="27"/>
        <v>51.227272727272734</v>
      </c>
      <c r="O36" s="74">
        <v>-343.00549512</v>
      </c>
      <c r="P36" s="76">
        <v>1580.59998535</v>
      </c>
      <c r="Q36" s="49">
        <v>47.4</v>
      </c>
      <c r="S36" s="74">
        <v>62.7213637689</v>
      </c>
      <c r="T36" s="76">
        <v>1061.23585205</v>
      </c>
      <c r="U36" s="49">
        <v>74.4</v>
      </c>
      <c r="W36" s="48">
        <f t="shared" si="13"/>
        <v>911.808</v>
      </c>
      <c r="X36" s="50">
        <f t="shared" si="28"/>
        <v>911808</v>
      </c>
      <c r="Y36" s="50">
        <f t="shared" si="14"/>
        <v>1949.4564707</v>
      </c>
      <c r="Z36" s="50">
        <f t="shared" si="15"/>
        <v>-449.67502735</v>
      </c>
      <c r="AA36" s="55">
        <f t="shared" si="1"/>
        <v>0.01</v>
      </c>
      <c r="AB36" s="2"/>
      <c r="AC36" s="48">
        <f t="shared" si="16"/>
        <v>0.01</v>
      </c>
      <c r="AD36" s="50">
        <f t="shared" si="2"/>
        <v>217.00272528995453</v>
      </c>
      <c r="AE36" s="50">
        <f t="shared" si="17"/>
        <v>0.001098181724493753</v>
      </c>
      <c r="AF36" s="57">
        <f t="shared" si="3"/>
        <v>2.1380282872962173E-14</v>
      </c>
      <c r="AG36" s="57">
        <f t="shared" si="4"/>
        <v>-2.1380349986227182E-14</v>
      </c>
      <c r="AH36" s="57">
        <f t="shared" si="29"/>
        <v>4.020215572520226E-23</v>
      </c>
      <c r="AI36" s="57">
        <f t="shared" si="30"/>
        <v>9.952437768841947E-23</v>
      </c>
      <c r="AJ36" s="57">
        <f t="shared" si="31"/>
        <v>5.932222196321721E-23</v>
      </c>
      <c r="AK36" s="57">
        <f t="shared" si="18"/>
        <v>-10.67034162740656</v>
      </c>
      <c r="AL36" s="57">
        <f t="shared" si="19"/>
        <v>1.0050538931300565E-22</v>
      </c>
      <c r="AM36" s="58">
        <f t="shared" si="20"/>
        <v>2.5</v>
      </c>
      <c r="AN36" s="57">
        <f t="shared" si="21"/>
        <v>1.4830555490804302E-22</v>
      </c>
      <c r="AO36" s="57">
        <f t="shared" si="32"/>
        <v>5.932222196321721E-23</v>
      </c>
      <c r="AP36" s="57">
        <f t="shared" si="33"/>
        <v>-4.2681366509626235</v>
      </c>
      <c r="AQ36" s="58">
        <f t="shared" si="34"/>
        <v>-4.2681366509626235</v>
      </c>
      <c r="AR36" s="49">
        <f t="shared" si="5"/>
        <v>0</v>
      </c>
      <c r="AT36" s="61">
        <f t="shared" si="6"/>
        <v>2.3479509618154956E-15</v>
      </c>
      <c r="AU36" s="62">
        <f t="shared" si="23"/>
        <v>2.347943591559385E-15</v>
      </c>
      <c r="AW36" s="48">
        <f>IF(OR($I$6=1,$I$6=0),-15-0.012*AD36+$L$6,IF(I6=2,-5.31-0.007992*AD36+$L$6,0))</f>
        <v>0</v>
      </c>
      <c r="AX36" s="50">
        <f>IF(OR($I$6=1,$I$6=0),16.81-0.00692*AD36-0.27937*E36+$L$6,IF(I6=2,7.2936-0.006277*AD36+$L$6,0))</f>
        <v>0</v>
      </c>
      <c r="AY36" s="50">
        <f t="shared" si="7"/>
        <v>-1.9061335873010525</v>
      </c>
      <c r="AZ36" s="50">
        <f t="shared" si="8"/>
        <v>0.8365994245603965</v>
      </c>
      <c r="BA36" s="49">
        <f t="shared" si="9"/>
        <v>-1.069534162740656</v>
      </c>
      <c r="BC36" s="65">
        <f t="shared" si="10"/>
        <v>216.99272528995454</v>
      </c>
      <c r="BD36" s="50">
        <f t="shared" si="11"/>
        <v>216.99272528995454</v>
      </c>
      <c r="BE36" s="49">
        <f t="shared" si="24"/>
        <v>216.99272528995454</v>
      </c>
      <c r="BG36" s="67">
        <f t="shared" si="25"/>
        <v>1</v>
      </c>
    </row>
    <row r="37" spans="2:59" ht="12.75">
      <c r="B37" s="48">
        <f t="shared" si="12"/>
        <v>0.568181818181818</v>
      </c>
      <c r="C37" s="2">
        <v>750</v>
      </c>
      <c r="D37" s="2">
        <v>3450</v>
      </c>
      <c r="E37" s="49">
        <f t="shared" si="35"/>
        <v>79</v>
      </c>
      <c r="G37" s="48">
        <v>160.722</v>
      </c>
      <c r="H37" s="50">
        <v>3361.4</v>
      </c>
      <c r="I37" s="49">
        <f t="shared" si="0"/>
        <v>38.52272727272728</v>
      </c>
      <c r="K37" s="74">
        <v>-367.65246582</v>
      </c>
      <c r="L37">
        <v>1939.01989746</v>
      </c>
      <c r="M37" s="49">
        <f t="shared" si="27"/>
        <v>53.0159090909091</v>
      </c>
      <c r="O37" s="74">
        <v>-310.62494825</v>
      </c>
      <c r="P37" s="76">
        <v>1581.44412109</v>
      </c>
      <c r="Q37" s="49">
        <v>48.8</v>
      </c>
      <c r="S37" s="74">
        <v>-33.082045895</v>
      </c>
      <c r="T37" s="76">
        <v>980.395450195</v>
      </c>
      <c r="U37" s="49">
        <v>74.7</v>
      </c>
      <c r="W37" s="48">
        <f t="shared" si="13"/>
        <v>949.8</v>
      </c>
      <c r="X37" s="50">
        <f t="shared" si="28"/>
        <v>949800</v>
      </c>
      <c r="Y37" s="50">
        <f t="shared" si="14"/>
        <v>1939.01989746</v>
      </c>
      <c r="Z37" s="50">
        <f t="shared" si="15"/>
        <v>-367.65246582</v>
      </c>
      <c r="AA37" s="55">
        <f t="shared" si="1"/>
        <v>0.01</v>
      </c>
      <c r="AB37" s="2"/>
      <c r="AC37" s="48">
        <f t="shared" si="16"/>
        <v>0.01</v>
      </c>
      <c r="AD37" s="50">
        <f t="shared" si="2"/>
        <v>273.3328545217454</v>
      </c>
      <c r="AE37" s="50">
        <f t="shared" si="17"/>
        <v>0.0009180284965016959</v>
      </c>
      <c r="AF37" s="57">
        <f t="shared" si="3"/>
        <v>1.2869692874056573E-14</v>
      </c>
      <c r="AG37" s="57">
        <f t="shared" si="4"/>
        <v>-1.2869739773994504E-14</v>
      </c>
      <c r="AH37" s="57">
        <f t="shared" si="29"/>
        <v>5.932222196321721E-23</v>
      </c>
      <c r="AI37" s="57">
        <f t="shared" si="30"/>
        <v>8.163638732446519E-23</v>
      </c>
      <c r="AJ37" s="57">
        <f t="shared" si="31"/>
        <v>2.2314165361247984E-23</v>
      </c>
      <c r="AK37" s="57">
        <f t="shared" si="18"/>
        <v>-6.674400996642002</v>
      </c>
      <c r="AL37" s="57">
        <f t="shared" si="19"/>
        <v>1.4830555490804302E-22</v>
      </c>
      <c r="AM37" s="58">
        <f t="shared" si="20"/>
        <v>2.5</v>
      </c>
      <c r="AN37" s="57">
        <f t="shared" si="21"/>
        <v>5.578541340311996E-23</v>
      </c>
      <c r="AO37" s="57">
        <f t="shared" si="32"/>
        <v>2.2314165361247984E-23</v>
      </c>
      <c r="AP37" s="57">
        <f t="shared" si="33"/>
        <v>-2.669760398656801</v>
      </c>
      <c r="AQ37" s="58">
        <f t="shared" si="34"/>
        <v>-2.669760398656801</v>
      </c>
      <c r="AR37" s="49">
        <f t="shared" si="5"/>
        <v>0</v>
      </c>
      <c r="AT37" s="61">
        <f t="shared" si="6"/>
        <v>1.181478785508825E-15</v>
      </c>
      <c r="AU37" s="62">
        <f t="shared" si="23"/>
        <v>1.1814744799608745E-15</v>
      </c>
      <c r="AW37" s="48">
        <f>IF(OR($I$6=1,$I$6=0),-15-0.012*AD37+$L$6,IF(I6=2,-5.31-0.007992*AD37+$L$6,0))</f>
        <v>0</v>
      </c>
      <c r="AX37" s="50">
        <f>IF(OR($I$6=1,$I$6=0),16.81-0.00692*AD37-0.27937*E37+$L$6,IF(I6=2,7.2936-0.006277*AD37+$L$6,0))</f>
        <v>0</v>
      </c>
      <c r="AY37" s="50">
        <f t="shared" si="7"/>
        <v>-1.5058361294096247</v>
      </c>
      <c r="AZ37" s="50">
        <f t="shared" si="8"/>
        <v>0.8358960297454245</v>
      </c>
      <c r="BA37" s="49">
        <f t="shared" si="9"/>
        <v>-0.6699400996642002</v>
      </c>
      <c r="BC37" s="65">
        <f t="shared" si="10"/>
        <v>273.3228545217454</v>
      </c>
      <c r="BD37" s="50">
        <f t="shared" si="11"/>
        <v>273.3228545217454</v>
      </c>
      <c r="BE37" s="49">
        <f t="shared" si="24"/>
        <v>273.3228545217454</v>
      </c>
      <c r="BG37" s="67">
        <f t="shared" si="25"/>
        <v>1</v>
      </c>
    </row>
    <row r="38" spans="2:59" ht="12.75">
      <c r="B38" s="48">
        <f t="shared" si="12"/>
        <v>0.5909090909090907</v>
      </c>
      <c r="C38" s="2">
        <v>300</v>
      </c>
      <c r="D38" s="2">
        <v>3340</v>
      </c>
      <c r="E38" s="49">
        <f t="shared" si="35"/>
        <v>78</v>
      </c>
      <c r="G38" s="48">
        <v>379.913</v>
      </c>
      <c r="H38" s="50">
        <v>3291.88</v>
      </c>
      <c r="I38" s="49">
        <f t="shared" si="0"/>
        <v>37.1969696969697</v>
      </c>
      <c r="K38" s="74">
        <v>-329.68143262</v>
      </c>
      <c r="L38">
        <v>1888.65858496</v>
      </c>
      <c r="M38" s="49">
        <f t="shared" si="27"/>
        <v>54.80454545454546</v>
      </c>
      <c r="O38" s="74">
        <v>-357.89480859</v>
      </c>
      <c r="P38" s="76">
        <v>1520.43614844</v>
      </c>
      <c r="Q38" s="49">
        <v>50.1</v>
      </c>
      <c r="S38" s="74">
        <v>-19.75903321</v>
      </c>
      <c r="T38" s="76">
        <v>1013.34057617</v>
      </c>
      <c r="U38" s="49">
        <v>75</v>
      </c>
      <c r="W38" s="48">
        <f t="shared" si="13"/>
        <v>987.792</v>
      </c>
      <c r="X38" s="50">
        <f t="shared" si="28"/>
        <v>987792</v>
      </c>
      <c r="Y38" s="50">
        <f t="shared" si="14"/>
        <v>1888.65858496</v>
      </c>
      <c r="Z38" s="50">
        <f t="shared" si="15"/>
        <v>-329.68143262</v>
      </c>
      <c r="AA38" s="55">
        <f t="shared" si="1"/>
        <v>0.01</v>
      </c>
      <c r="AB38" s="2"/>
      <c r="AC38" s="48">
        <f t="shared" si="16"/>
        <v>0.01</v>
      </c>
      <c r="AD38" s="50">
        <f t="shared" si="2"/>
        <v>286.7582025681394</v>
      </c>
      <c r="AE38" s="50">
        <f t="shared" si="17"/>
        <v>3.0215567125058186E-05</v>
      </c>
      <c r="AF38" s="57">
        <f t="shared" si="3"/>
        <v>1.3495854082355855E-17</v>
      </c>
      <c r="AG38" s="57">
        <f t="shared" si="4"/>
        <v>-1.3495904889109189E-17</v>
      </c>
      <c r="AH38" s="57">
        <f t="shared" si="29"/>
        <v>2.2314165361247984E-23</v>
      </c>
      <c r="AI38" s="57">
        <f t="shared" si="30"/>
        <v>2.987257444132102E-23</v>
      </c>
      <c r="AJ38" s="57">
        <f t="shared" si="31"/>
        <v>7.558409080073038E-24</v>
      </c>
      <c r="AK38" s="57">
        <f t="shared" si="18"/>
        <v>-5.740307661965153</v>
      </c>
      <c r="AL38" s="57">
        <f t="shared" si="19"/>
        <v>5.578541340311996E-23</v>
      </c>
      <c r="AM38" s="58">
        <f t="shared" si="20"/>
        <v>2.5</v>
      </c>
      <c r="AN38" s="57">
        <f t="shared" si="21"/>
        <v>1.8896022700182595E-23</v>
      </c>
      <c r="AO38" s="57">
        <f t="shared" si="32"/>
        <v>7.558409080073038E-24</v>
      </c>
      <c r="AP38" s="57">
        <f t="shared" si="33"/>
        <v>-2.2961230647860615</v>
      </c>
      <c r="AQ38" s="58">
        <f t="shared" si="34"/>
        <v>-2.2961230647860615</v>
      </c>
      <c r="AR38" s="49">
        <f t="shared" si="5"/>
        <v>0</v>
      </c>
      <c r="AT38" s="61">
        <f t="shared" si="6"/>
        <v>4.0778642009027964E-20</v>
      </c>
      <c r="AU38" s="62">
        <f t="shared" si="23"/>
        <v>4.077848849354139E-20</v>
      </c>
      <c r="AW38" s="48">
        <f>IF(OR($I$6=1,$I$6=0),-15-0.012*AD38+$L$6,IF(I6=2,-5.31-0.007992*AD38+$L$6,0))</f>
        <v>0</v>
      </c>
      <c r="AX38" s="50">
        <f>IF(OR($I$6=1,$I$6=0),16.81-0.00692*AD38-0.27937*E38+$L$6,IF(I6=2,7.2936-0.006277*AD38+$L$6,0))</f>
        <v>0</v>
      </c>
      <c r="AY38" s="50">
        <f t="shared" si="7"/>
        <v>-1.4122354070123795</v>
      </c>
      <c r="AZ38" s="50">
        <f t="shared" si="8"/>
        <v>0.8357046408158642</v>
      </c>
      <c r="BA38" s="49">
        <f t="shared" si="9"/>
        <v>-0.5765307661965153</v>
      </c>
      <c r="BC38" s="65">
        <f t="shared" si="10"/>
        <v>286.7482025681394</v>
      </c>
      <c r="BD38" s="50">
        <f t="shared" si="11"/>
        <v>286.7482025681394</v>
      </c>
      <c r="BE38" s="49">
        <f t="shared" si="24"/>
        <v>286.7482025681394</v>
      </c>
      <c r="BG38" s="67">
        <f t="shared" si="25"/>
        <v>1</v>
      </c>
    </row>
    <row r="39" spans="2:59" ht="12.75">
      <c r="B39" s="48">
        <f t="shared" si="12"/>
        <v>0.6136363636363634</v>
      </c>
      <c r="C39" s="2">
        <v>250</v>
      </c>
      <c r="D39" s="2">
        <v>3260</v>
      </c>
      <c r="E39" s="49">
        <f t="shared" si="35"/>
        <v>77</v>
      </c>
      <c r="G39" s="48">
        <v>626.069</v>
      </c>
      <c r="H39" s="50">
        <v>3194.59</v>
      </c>
      <c r="I39" s="49">
        <f t="shared" si="0"/>
        <v>35.87121212121213</v>
      </c>
      <c r="K39" s="74">
        <v>-302.07704687</v>
      </c>
      <c r="L39">
        <v>1776.87185547</v>
      </c>
      <c r="M39" s="49">
        <f t="shared" si="27"/>
        <v>56.593181818181826</v>
      </c>
      <c r="O39" s="74">
        <v>-340.10883984</v>
      </c>
      <c r="P39" s="76">
        <v>1508.22194727</v>
      </c>
      <c r="Q39" s="49">
        <v>51.4</v>
      </c>
      <c r="S39" s="74">
        <v>-37.74371679</v>
      </c>
      <c r="T39" s="76">
        <v>1167.36330176</v>
      </c>
      <c r="U39" s="49">
        <v>75.4</v>
      </c>
      <c r="W39" s="48">
        <f t="shared" si="13"/>
        <v>1025.784</v>
      </c>
      <c r="X39" s="50">
        <f t="shared" si="28"/>
        <v>1025784</v>
      </c>
      <c r="Y39" s="50">
        <f t="shared" si="14"/>
        <v>1776.87185547</v>
      </c>
      <c r="Z39" s="50">
        <f t="shared" si="15"/>
        <v>-302.07704687</v>
      </c>
      <c r="AA39" s="55">
        <f t="shared" si="1"/>
        <v>0.01</v>
      </c>
      <c r="AB39" s="2"/>
      <c r="AC39" s="48">
        <f t="shared" si="16"/>
        <v>0.01</v>
      </c>
      <c r="AD39" s="50">
        <f t="shared" si="2"/>
        <v>275.6287541741758</v>
      </c>
      <c r="AE39" s="50">
        <f t="shared" si="17"/>
        <v>-0.0005352534768434904</v>
      </c>
      <c r="AF39" s="57">
        <f t="shared" si="3"/>
        <v>4.3503872248416754E-15</v>
      </c>
      <c r="AG39" s="57">
        <f t="shared" si="4"/>
        <v>-4.3504031681680765E-15</v>
      </c>
      <c r="AH39" s="57">
        <f t="shared" si="29"/>
        <v>7.558409080073038E-24</v>
      </c>
      <c r="AI39" s="57">
        <f t="shared" si="30"/>
        <v>3.2886920118926305E-23</v>
      </c>
      <c r="AJ39" s="57">
        <f t="shared" si="31"/>
        <v>2.5328511038853265E-23</v>
      </c>
      <c r="AK39" s="57">
        <f t="shared" si="18"/>
        <v>-6.513613857835115</v>
      </c>
      <c r="AL39" s="57">
        <f t="shared" si="19"/>
        <v>1.8896022700182595E-23</v>
      </c>
      <c r="AM39" s="58">
        <f t="shared" si="20"/>
        <v>2.5</v>
      </c>
      <c r="AN39" s="57">
        <f t="shared" si="21"/>
        <v>6.332127759713316E-23</v>
      </c>
      <c r="AO39" s="57">
        <f t="shared" si="32"/>
        <v>2.5328511038853265E-23</v>
      </c>
      <c r="AP39" s="57">
        <f t="shared" si="33"/>
        <v>-2.605445543134046</v>
      </c>
      <c r="AQ39" s="58">
        <f t="shared" si="34"/>
        <v>-2.605445543134046</v>
      </c>
      <c r="AR39" s="49">
        <f t="shared" si="5"/>
        <v>0</v>
      </c>
      <c r="AT39" s="61">
        <f t="shared" si="6"/>
        <v>2.328568421432899E-16</v>
      </c>
      <c r="AU39" s="62">
        <f t="shared" si="23"/>
        <v>2.32855988771201E-16</v>
      </c>
      <c r="AW39" s="48">
        <f>IF(OR($I$6=1,$I$6=0),-15-0.012*AD39+$L$6,IF(I6=2,-5.31-0.007992*AD39+$L$6,0))</f>
        <v>0</v>
      </c>
      <c r="AX39" s="50">
        <f>IF(OR($I$6=1,$I$6=0),16.81-0.00692*AD39-0.27937*E39+$L$6,IF(I6=2,7.2936-0.006277*AD39+$L$6,0))</f>
        <v>0</v>
      </c>
      <c r="AY39" s="50">
        <f t="shared" si="7"/>
        <v>-1.489725332978463</v>
      </c>
      <c r="AZ39" s="50">
        <f t="shared" si="8"/>
        <v>0.8358639471949515</v>
      </c>
      <c r="BA39" s="49">
        <f t="shared" si="9"/>
        <v>-0.6538613857835115</v>
      </c>
      <c r="BC39" s="65">
        <f t="shared" si="10"/>
        <v>275.6187541741758</v>
      </c>
      <c r="BD39" s="50">
        <f t="shared" si="11"/>
        <v>275.6187541741758</v>
      </c>
      <c r="BE39" s="49">
        <f t="shared" si="24"/>
        <v>275.6187541741758</v>
      </c>
      <c r="BG39" s="67">
        <f t="shared" si="25"/>
        <v>1</v>
      </c>
    </row>
    <row r="40" spans="2:59" ht="12.75">
      <c r="B40" s="48">
        <f t="shared" si="12"/>
        <v>0.6363636363636361</v>
      </c>
      <c r="C40" s="2">
        <v>0</v>
      </c>
      <c r="D40" s="2">
        <v>3250</v>
      </c>
      <c r="E40" s="49">
        <f t="shared" si="35"/>
        <v>76</v>
      </c>
      <c r="G40" s="48">
        <v>838.234</v>
      </c>
      <c r="H40" s="50">
        <v>3092.49</v>
      </c>
      <c r="I40" s="49">
        <f t="shared" si="0"/>
        <v>34.54545454545456</v>
      </c>
      <c r="K40" s="74">
        <v>-295.88353321</v>
      </c>
      <c r="L40">
        <v>1654.46697656</v>
      </c>
      <c r="M40" s="49">
        <f t="shared" si="27"/>
        <v>58.38181818181819</v>
      </c>
      <c r="O40" s="74">
        <v>-220.85555176</v>
      </c>
      <c r="P40" s="76">
        <v>1492.43041406</v>
      </c>
      <c r="Q40" s="49">
        <v>52.8</v>
      </c>
      <c r="S40" s="74">
        <v>-52.61280175999</v>
      </c>
      <c r="T40" s="76">
        <v>1064.92877539</v>
      </c>
      <c r="U40" s="49">
        <v>75.7</v>
      </c>
      <c r="W40" s="48">
        <f t="shared" si="13"/>
        <v>1063.776</v>
      </c>
      <c r="X40" s="50">
        <f t="shared" si="28"/>
        <v>1063776</v>
      </c>
      <c r="Y40" s="50">
        <f t="shared" si="14"/>
        <v>1654.46697656</v>
      </c>
      <c r="Z40" s="50">
        <f t="shared" si="15"/>
        <v>-295.88353321</v>
      </c>
      <c r="AA40" s="55">
        <f t="shared" si="1"/>
        <v>0.01</v>
      </c>
      <c r="AB40" s="2"/>
      <c r="AC40" s="48">
        <f t="shared" si="16"/>
        <v>0.01</v>
      </c>
      <c r="AD40" s="50">
        <f t="shared" si="2"/>
        <v>246.0875023836636</v>
      </c>
      <c r="AE40" s="50">
        <f t="shared" si="17"/>
        <v>-0.0007922330644477792</v>
      </c>
      <c r="AF40" s="57">
        <f t="shared" si="3"/>
        <v>1.0273150635029888E-14</v>
      </c>
      <c r="AG40" s="57">
        <f t="shared" si="4"/>
        <v>-1.0273185562398804E-14</v>
      </c>
      <c r="AH40" s="57">
        <f t="shared" si="29"/>
        <v>2.5328511038853265E-23</v>
      </c>
      <c r="AI40" s="57">
        <f t="shared" si="30"/>
        <v>5.908199928809104E-23</v>
      </c>
      <c r="AJ40" s="57">
        <f t="shared" si="31"/>
        <v>3.3753488249237765E-23</v>
      </c>
      <c r="AK40" s="57">
        <f t="shared" si="18"/>
        <v>-8.60391343534761</v>
      </c>
      <c r="AL40" s="57">
        <f t="shared" si="19"/>
        <v>6.332127759713316E-23</v>
      </c>
      <c r="AM40" s="58">
        <f t="shared" si="20"/>
        <v>2.5</v>
      </c>
      <c r="AN40" s="57">
        <f t="shared" si="21"/>
        <v>8.438372062309442E-23</v>
      </c>
      <c r="AO40" s="57">
        <f t="shared" si="32"/>
        <v>3.3753488249237765E-23</v>
      </c>
      <c r="AP40" s="57">
        <f t="shared" si="33"/>
        <v>-3.4415653741390444</v>
      </c>
      <c r="AQ40" s="58">
        <f t="shared" si="34"/>
        <v>-3.4415653741390444</v>
      </c>
      <c r="AR40" s="49">
        <f t="shared" si="5"/>
        <v>0</v>
      </c>
      <c r="AT40" s="61">
        <f t="shared" si="6"/>
        <v>8.138757279739887E-16</v>
      </c>
      <c r="AU40" s="62">
        <f t="shared" si="23"/>
        <v>8.138729609123377E-16</v>
      </c>
      <c r="AW40" s="48">
        <f>IF(OR($I$6=1,$I$6=0),-15-0.012*AD40+$L$6,IF(I6=2,-5.31-0.007992*AD40+$L$6,0))</f>
        <v>0</v>
      </c>
      <c r="AX40" s="50">
        <f>IF(OR($I$6=1,$I$6=0),16.81-0.00692*AD40-0.27937*E40+$L$6,IF(I6=2,7.2936-0.006277*AD40+$L$6,0))</f>
        <v>0</v>
      </c>
      <c r="AY40" s="73">
        <f t="shared" si="7"/>
        <v>-1.6991476924123161</v>
      </c>
      <c r="AZ40" s="50">
        <f t="shared" si="8"/>
        <v>0.8362563488775551</v>
      </c>
      <c r="BA40" s="49">
        <f t="shared" si="9"/>
        <v>-0.862891343534761</v>
      </c>
      <c r="BC40" s="65">
        <f t="shared" si="10"/>
        <v>246.0775023836636</v>
      </c>
      <c r="BD40" s="50">
        <f t="shared" si="11"/>
        <v>246.0775023836636</v>
      </c>
      <c r="BE40" s="49">
        <f t="shared" si="24"/>
        <v>246.0775023836636</v>
      </c>
      <c r="BG40" s="67">
        <f t="shared" si="25"/>
        <v>1</v>
      </c>
    </row>
    <row r="41" spans="2:59" ht="12.75">
      <c r="B41" s="48">
        <f t="shared" si="12"/>
        <v>0.6590909090909088</v>
      </c>
      <c r="C41" s="2">
        <v>-100</v>
      </c>
      <c r="D41" s="2">
        <v>3240</v>
      </c>
      <c r="E41" s="49">
        <f t="shared" si="35"/>
        <v>75</v>
      </c>
      <c r="G41" s="48">
        <v>643.812</v>
      </c>
      <c r="H41" s="50">
        <v>2981.29</v>
      </c>
      <c r="I41" s="49">
        <f t="shared" si="0"/>
        <v>33.21969696969698</v>
      </c>
      <c r="K41" s="74">
        <v>-291.66478418</v>
      </c>
      <c r="L41">
        <v>1533.18303906</v>
      </c>
      <c r="M41" s="49">
        <f t="shared" si="27"/>
        <v>60.170454545454554</v>
      </c>
      <c r="O41" s="74">
        <v>-206.06211718</v>
      </c>
      <c r="P41" s="76">
        <v>1500.76883594</v>
      </c>
      <c r="Q41" s="49">
        <v>54.2</v>
      </c>
      <c r="S41" s="74">
        <v>-140.7367553</v>
      </c>
      <c r="T41" s="76">
        <v>955.71282959</v>
      </c>
      <c r="U41" s="49">
        <v>76</v>
      </c>
      <c r="W41" s="48">
        <f t="shared" si="13"/>
        <v>1101.768</v>
      </c>
      <c r="X41" s="50">
        <f t="shared" si="28"/>
        <v>1101768</v>
      </c>
      <c r="Y41" s="50">
        <f t="shared" si="14"/>
        <v>1533.18303906</v>
      </c>
      <c r="Z41" s="50">
        <f t="shared" si="15"/>
        <v>-291.66478418</v>
      </c>
      <c r="AA41" s="55">
        <f t="shared" si="1"/>
        <v>0.01</v>
      </c>
      <c r="AB41" s="2"/>
      <c r="AC41" s="48">
        <f t="shared" si="16"/>
        <v>0.01</v>
      </c>
      <c r="AD41" s="50">
        <f t="shared" si="2"/>
        <v>215.43171700517576</v>
      </c>
      <c r="AE41" s="50">
        <f t="shared" si="17"/>
        <v>-0.0007193308800034448</v>
      </c>
      <c r="AF41" s="57">
        <f t="shared" si="3"/>
        <v>9.214592471090161E-15</v>
      </c>
      <c r="AG41" s="57">
        <f t="shared" si="4"/>
        <v>-9.214621266108015E-15</v>
      </c>
      <c r="AH41" s="57">
        <f t="shared" si="29"/>
        <v>3.3753488249237765E-23</v>
      </c>
      <c r="AI41" s="57">
        <f t="shared" si="30"/>
        <v>8.098566530801734E-23</v>
      </c>
      <c r="AJ41" s="57">
        <f t="shared" si="31"/>
        <v>4.7232177058779565E-23</v>
      </c>
      <c r="AK41" s="57">
        <f t="shared" si="18"/>
        <v>-10.781006829744717</v>
      </c>
      <c r="AL41" s="57">
        <f t="shared" si="19"/>
        <v>8.438372062309442E-23</v>
      </c>
      <c r="AM41" s="58">
        <f t="shared" si="20"/>
        <v>2.5</v>
      </c>
      <c r="AN41" s="57">
        <f t="shared" si="21"/>
        <v>1.1808044264694892E-22</v>
      </c>
      <c r="AO41" s="57">
        <f t="shared" si="32"/>
        <v>4.723217705877957E-23</v>
      </c>
      <c r="AP41" s="57">
        <f t="shared" si="33"/>
        <v>-4.312402731897887</v>
      </c>
      <c r="AQ41" s="58">
        <f t="shared" si="34"/>
        <v>-4.312402731897887</v>
      </c>
      <c r="AR41" s="49">
        <f t="shared" si="5"/>
        <v>0</v>
      </c>
      <c r="AT41" s="61">
        <f t="shared" si="6"/>
        <v>6.628361624247935E-16</v>
      </c>
      <c r="AU41" s="62">
        <f t="shared" si="23"/>
        <v>6.628340911102402E-16</v>
      </c>
      <c r="AW41" s="48">
        <f>IF(OR($I$6=1,$I$6=0),-15-0.012*AD41+$L$6,IF(I6=2,-5.31-0.007992*AD41+$L$6,0))</f>
        <v>0</v>
      </c>
      <c r="AX41" s="50">
        <f>IF(OR($I$6=1,$I$6=0),16.81-0.00692*AD41-0.27937*E41+$L$6,IF(I6=2,7.2936-0.006277*AD41+$L$6,0))</f>
        <v>0</v>
      </c>
      <c r="AY41" s="50">
        <f t="shared" si="7"/>
        <v>-1.9172174156943755</v>
      </c>
      <c r="AZ41" s="50">
        <f t="shared" si="8"/>
        <v>0.836616732719904</v>
      </c>
      <c r="BA41" s="49">
        <f t="shared" si="9"/>
        <v>-1.0806006829744716</v>
      </c>
      <c r="BC41" s="65">
        <f t="shared" si="10"/>
        <v>215.42171700517576</v>
      </c>
      <c r="BD41" s="50">
        <f t="shared" si="11"/>
        <v>215.42171700517576</v>
      </c>
      <c r="BE41" s="49">
        <f t="shared" si="24"/>
        <v>215.42171700517576</v>
      </c>
      <c r="BG41" s="67">
        <f t="shared" si="25"/>
        <v>1</v>
      </c>
    </row>
    <row r="42" spans="2:59" ht="12.75">
      <c r="B42" s="48">
        <f t="shared" si="12"/>
        <v>0.6818181818181815</v>
      </c>
      <c r="C42" s="2">
        <v>-50</v>
      </c>
      <c r="D42" s="2">
        <v>3230</v>
      </c>
      <c r="E42" s="49">
        <f t="shared" si="35"/>
        <v>74</v>
      </c>
      <c r="G42" s="48">
        <v>720.549</v>
      </c>
      <c r="H42" s="50">
        <v>2856.08</v>
      </c>
      <c r="I42" s="49">
        <f t="shared" si="0"/>
        <v>31.89393939393941</v>
      </c>
      <c r="K42" s="74">
        <v>-271.86706543</v>
      </c>
      <c r="L42">
        <v>1395.35961914</v>
      </c>
      <c r="M42" s="49">
        <f t="shared" si="27"/>
        <v>61.95909090909092</v>
      </c>
      <c r="O42" s="74">
        <v>-163.90515136</v>
      </c>
      <c r="P42" s="76">
        <v>1513.39660645</v>
      </c>
      <c r="Q42" s="49">
        <v>55.5</v>
      </c>
      <c r="S42" s="74">
        <v>-221.71258</v>
      </c>
      <c r="T42" s="76">
        <v>992.705354492</v>
      </c>
      <c r="U42" s="49">
        <v>76.4</v>
      </c>
      <c r="W42" s="48">
        <f t="shared" si="13"/>
        <v>1139.76</v>
      </c>
      <c r="X42" s="50">
        <f t="shared" si="28"/>
        <v>1139760</v>
      </c>
      <c r="Y42" s="50">
        <f t="shared" si="14"/>
        <v>1395.35961914</v>
      </c>
      <c r="Z42" s="50">
        <f t="shared" si="15"/>
        <v>-271.86706543</v>
      </c>
      <c r="AA42" s="55">
        <f t="shared" si="1"/>
        <v>0.01</v>
      </c>
      <c r="AB42" s="2"/>
      <c r="AC42" s="48">
        <f t="shared" si="16"/>
        <v>0.01</v>
      </c>
      <c r="AD42" s="50">
        <f t="shared" si="2"/>
        <v>191.42986479748186</v>
      </c>
      <c r="AE42" s="50">
        <f t="shared" si="17"/>
        <v>-0.0009716124571532202</v>
      </c>
      <c r="AF42" s="57">
        <f t="shared" si="3"/>
        <v>1.805514601204602E-14</v>
      </c>
      <c r="AG42" s="57">
        <f t="shared" si="4"/>
        <v>-1.80551985467261E-14</v>
      </c>
      <c r="AH42" s="57">
        <f t="shared" si="29"/>
        <v>4.7232177058779565E-23</v>
      </c>
      <c r="AI42" s="57">
        <f t="shared" si="30"/>
        <v>2.584229054155688E-22</v>
      </c>
      <c r="AJ42" s="57">
        <f t="shared" si="31"/>
        <v>2.1119072835678922E-22</v>
      </c>
      <c r="AK42" s="57">
        <f t="shared" si="18"/>
        <v>-12.444861058940212</v>
      </c>
      <c r="AL42" s="57">
        <f t="shared" si="19"/>
        <v>1.1808044264694892E-22</v>
      </c>
      <c r="AM42" s="58">
        <f t="shared" si="20"/>
        <v>2.5</v>
      </c>
      <c r="AN42" s="57">
        <f t="shared" si="21"/>
        <v>5.279768208919731E-22</v>
      </c>
      <c r="AO42" s="57">
        <f t="shared" si="32"/>
        <v>2.1119072835678924E-22</v>
      </c>
      <c r="AP42" s="57">
        <f t="shared" si="33"/>
        <v>-4.977944423576085</v>
      </c>
      <c r="AQ42" s="58">
        <f t="shared" si="34"/>
        <v>-4.977944423576085</v>
      </c>
      <c r="AR42" s="49">
        <f t="shared" si="5"/>
        <v>0</v>
      </c>
      <c r="AT42" s="61">
        <f t="shared" si="6"/>
        <v>1.7542655824373796E-15</v>
      </c>
      <c r="AU42" s="62">
        <f t="shared" si="23"/>
        <v>1.7542604781024197E-15</v>
      </c>
      <c r="AW42" s="48">
        <f>IF(OR($I$6=1,$I$6=0),-15-0.012*AD42+$L$6,IF(I6=2,-5.31-0.007992*AD42+$L$6,0))</f>
        <v>0</v>
      </c>
      <c r="AX42" s="50">
        <f>IF(OR($I$6=1,$I$6=0),16.81-0.00692*AD42-0.27937*E42+$L$6,IF(I6=2,7.2936-0.006277*AD42+$L$6,0))</f>
        <v>0</v>
      </c>
      <c r="AY42" s="50">
        <f t="shared" si="7"/>
        <v>-2.083851674290864</v>
      </c>
      <c r="AZ42" s="50">
        <f t="shared" si="8"/>
        <v>0.8368655683968428</v>
      </c>
      <c r="BA42" s="49">
        <f t="shared" si="9"/>
        <v>-1.2469861058940213</v>
      </c>
      <c r="BC42" s="65">
        <f t="shared" si="10"/>
        <v>191.41986479748186</v>
      </c>
      <c r="BD42" s="50">
        <f t="shared" si="11"/>
        <v>191.41986479748186</v>
      </c>
      <c r="BE42" s="49">
        <f t="shared" si="24"/>
        <v>191.41986479748186</v>
      </c>
      <c r="BG42" s="67">
        <f t="shared" si="25"/>
        <v>1</v>
      </c>
    </row>
    <row r="43" spans="2:59" ht="12.75">
      <c r="B43" s="48">
        <f t="shared" si="12"/>
        <v>0.7045454545454543</v>
      </c>
      <c r="C43" s="2">
        <v>0</v>
      </c>
      <c r="D43" s="2">
        <v>3210</v>
      </c>
      <c r="E43" s="49">
        <f t="shared" si="35"/>
        <v>73</v>
      </c>
      <c r="G43" s="48">
        <v>907.735</v>
      </c>
      <c r="H43" s="50">
        <v>2716.93</v>
      </c>
      <c r="I43" s="49">
        <f t="shared" si="0"/>
        <v>30.568181818181838</v>
      </c>
      <c r="K43" s="74">
        <v>-290.38756738</v>
      </c>
      <c r="L43">
        <v>1264.18335449</v>
      </c>
      <c r="M43" s="49">
        <f t="shared" si="27"/>
        <v>63.74772727272728</v>
      </c>
      <c r="O43" s="74">
        <v>-159.22676465</v>
      </c>
      <c r="P43" s="76">
        <v>1529.38807422</v>
      </c>
      <c r="Q43" s="49">
        <v>56.8</v>
      </c>
      <c r="S43" s="74">
        <v>-139.09974804</v>
      </c>
      <c r="T43" s="76">
        <v>1127.90212305</v>
      </c>
      <c r="U43" s="49">
        <v>76.7</v>
      </c>
      <c r="W43" s="48">
        <f t="shared" si="13"/>
        <v>1177.752</v>
      </c>
      <c r="X43" s="50">
        <f t="shared" si="28"/>
        <v>1177752</v>
      </c>
      <c r="Y43" s="50">
        <f t="shared" si="14"/>
        <v>1264.18335449</v>
      </c>
      <c r="Z43" s="50">
        <f t="shared" si="15"/>
        <v>-290.38756738</v>
      </c>
      <c r="AA43" s="55">
        <f t="shared" si="1"/>
        <v>0.01</v>
      </c>
      <c r="AB43" s="2"/>
      <c r="AC43" s="48">
        <f t="shared" si="16"/>
        <v>0.01</v>
      </c>
      <c r="AD43" s="50">
        <f t="shared" si="2"/>
        <v>141.60471606084548</v>
      </c>
      <c r="AE43" s="50">
        <f t="shared" si="17"/>
        <v>-0.002144108262485604</v>
      </c>
      <c r="AF43" s="57">
        <f t="shared" si="3"/>
        <v>1.0387695414238635E-13</v>
      </c>
      <c r="AG43" s="57">
        <f t="shared" si="4"/>
        <v>-1.0387720997350162E-13</v>
      </c>
      <c r="AH43" s="57">
        <f t="shared" si="29"/>
        <v>2.1119072835678922E-22</v>
      </c>
      <c r="AI43" s="57">
        <f t="shared" si="30"/>
        <v>6.550918529369997E-22</v>
      </c>
      <c r="AJ43" s="57">
        <f t="shared" si="31"/>
        <v>4.439011245802106E-22</v>
      </c>
      <c r="AK43" s="57">
        <f t="shared" si="18"/>
        <v>-15.610909956454261</v>
      </c>
      <c r="AL43" s="57">
        <f t="shared" si="19"/>
        <v>5.279768208919731E-22</v>
      </c>
      <c r="AM43" s="58">
        <f t="shared" si="20"/>
        <v>2.5</v>
      </c>
      <c r="AN43" s="57">
        <f t="shared" si="21"/>
        <v>1.1097528114505265E-21</v>
      </c>
      <c r="AO43" s="57">
        <f t="shared" si="32"/>
        <v>4.439011245802106E-22</v>
      </c>
      <c r="AP43" s="57">
        <f t="shared" si="33"/>
        <v>-6.244363982581705</v>
      </c>
      <c r="AQ43" s="58">
        <f t="shared" si="34"/>
        <v>-6.244363982581705</v>
      </c>
      <c r="AR43" s="49">
        <f t="shared" si="5"/>
        <v>0</v>
      </c>
      <c r="AT43" s="61">
        <f t="shared" si="6"/>
        <v>2.2272398418813682E-14</v>
      </c>
      <c r="AU43" s="62">
        <f t="shared" si="23"/>
        <v>2.2272343565852878E-14</v>
      </c>
      <c r="AW43" s="48">
        <f>IF(OR($I$6=1,$I$6=0),-15-0.012*AD43+$L$6,IF(I6=2,-5.31-0.007992*AD43+$L$6,0))</f>
        <v>0</v>
      </c>
      <c r="AX43" s="50">
        <f>IF(OR($I$6=1,$I$6=0),16.81-0.00692*AD43-0.27937*E43+$L$6,IF(I6=2,7.2936-0.006277*AD43+$L$6,0))</f>
        <v>0</v>
      </c>
      <c r="AY43" s="50">
        <f t="shared" si="7"/>
        <v>-2.4008795573058914</v>
      </c>
      <c r="AZ43" s="50">
        <f t="shared" si="8"/>
        <v>0.8372885616604652</v>
      </c>
      <c r="BA43" s="49">
        <f t="shared" si="9"/>
        <v>-1.5635909956454261</v>
      </c>
      <c r="BC43" s="65">
        <f t="shared" si="10"/>
        <v>141.59471606084549</v>
      </c>
      <c r="BD43" s="50">
        <f t="shared" si="11"/>
        <v>141.59471606084549</v>
      </c>
      <c r="BE43" s="49">
        <f t="shared" si="24"/>
        <v>141.59471606084549</v>
      </c>
      <c r="BG43" s="67">
        <f t="shared" si="25"/>
        <v>1</v>
      </c>
    </row>
    <row r="44" spans="2:59" ht="12.75">
      <c r="B44" s="48">
        <f t="shared" si="12"/>
        <v>0.727272727272727</v>
      </c>
      <c r="C44" s="2">
        <v>500</v>
      </c>
      <c r="D44" s="2">
        <v>3150</v>
      </c>
      <c r="E44" s="49">
        <f t="shared" si="35"/>
        <v>72</v>
      </c>
      <c r="G44" s="48">
        <v>1152.31</v>
      </c>
      <c r="H44" s="50">
        <v>2490.21</v>
      </c>
      <c r="I44" s="49">
        <f t="shared" si="0"/>
        <v>29.242424242424264</v>
      </c>
      <c r="K44" s="74">
        <v>-397.00317383</v>
      </c>
      <c r="L44">
        <v>1134.25842285</v>
      </c>
      <c r="M44" s="49">
        <f t="shared" si="27"/>
        <v>65.53636363636365</v>
      </c>
      <c r="O44" s="74">
        <v>-127.2264707</v>
      </c>
      <c r="P44" s="76">
        <v>1552.7481709</v>
      </c>
      <c r="Q44" s="49">
        <v>58.2</v>
      </c>
      <c r="S44" s="74">
        <v>-138.88464356</v>
      </c>
      <c r="T44" s="76">
        <v>1285.80249023</v>
      </c>
      <c r="U44" s="49">
        <v>77</v>
      </c>
      <c r="W44" s="48">
        <f t="shared" si="13"/>
        <v>1215.744</v>
      </c>
      <c r="X44" s="50">
        <f t="shared" si="28"/>
        <v>1215744</v>
      </c>
      <c r="Y44" s="50">
        <f t="shared" si="14"/>
        <v>1134.25842285</v>
      </c>
      <c r="Z44" s="50">
        <f t="shared" si="15"/>
        <v>-397.00317383</v>
      </c>
      <c r="AA44" s="55">
        <f t="shared" si="1"/>
        <v>0.01</v>
      </c>
      <c r="AB44" s="2"/>
      <c r="AC44" s="48">
        <f t="shared" si="16"/>
        <v>0.01</v>
      </c>
      <c r="AD44" s="50">
        <f t="shared" si="2"/>
        <v>28.511942580775735</v>
      </c>
      <c r="AE44" s="50">
        <f t="shared" si="17"/>
        <v>-0.0019918160625815966</v>
      </c>
      <c r="AF44" s="57">
        <f t="shared" si="3"/>
        <v>1.5241191341507251E-13</v>
      </c>
      <c r="AG44" s="57">
        <f t="shared" si="4"/>
        <v>-1.524121341943989E-13</v>
      </c>
      <c r="AH44" s="57">
        <f t="shared" si="29"/>
        <v>4.439011245802106E-22</v>
      </c>
      <c r="AI44" s="57">
        <f t="shared" si="30"/>
        <v>7.729463948691413E-22</v>
      </c>
      <c r="AJ44" s="57">
        <f t="shared" si="31"/>
        <v>3.2904527028893072E-22</v>
      </c>
      <c r="AK44" s="57">
        <f t="shared" si="18"/>
        <v>-19.890229070743054</v>
      </c>
      <c r="AL44" s="57">
        <f t="shared" si="19"/>
        <v>1.1097528114505265E-21</v>
      </c>
      <c r="AM44" s="58">
        <f t="shared" si="20"/>
        <v>2.5</v>
      </c>
      <c r="AN44" s="57">
        <f t="shared" si="21"/>
        <v>8.226131757223268E-22</v>
      </c>
      <c r="AO44" s="57">
        <f t="shared" si="32"/>
        <v>3.2904527028893072E-22</v>
      </c>
      <c r="AP44" s="57">
        <f t="shared" si="33"/>
        <v>-7.956091628297221</v>
      </c>
      <c r="AQ44" s="58">
        <f t="shared" si="34"/>
        <v>-7.956091628297221</v>
      </c>
      <c r="AR44" s="49">
        <f t="shared" si="5"/>
        <v>0</v>
      </c>
      <c r="AT44" s="61">
        <f t="shared" si="6"/>
        <v>3.035769370207455E-14</v>
      </c>
      <c r="AU44" s="62">
        <f t="shared" si="23"/>
        <v>3.0357649726893694E-14</v>
      </c>
      <c r="AW44" s="48">
        <f>IF(OR($I$6=1,$I$6=0),-15-0.012*AD44+$L$6,IF(I6=2,-5.31-0.007992*AD44+$L$6,0))</f>
        <v>0</v>
      </c>
      <c r="AX44" s="50">
        <f>IF(OR($I$6=1,$I$6=0),16.81-0.00692*AD44-0.27937*E44+$L$6,IF(I6=2,7.2936-0.006277*AD44+$L$6,0))</f>
        <v>0</v>
      </c>
      <c r="AY44" s="50">
        <f t="shared" si="7"/>
        <v>-2.8293021666002667</v>
      </c>
      <c r="AZ44" s="50">
        <f t="shared" si="8"/>
        <v>0.8377792595259611</v>
      </c>
      <c r="BA44" s="49">
        <f t="shared" si="9"/>
        <v>-1.9915229070743057</v>
      </c>
      <c r="BC44" s="65">
        <f t="shared" si="10"/>
        <v>28.501942580775733</v>
      </c>
      <c r="BD44" s="50">
        <f t="shared" si="11"/>
        <v>28.501942580775733</v>
      </c>
      <c r="BE44" s="49">
        <f t="shared" si="24"/>
        <v>28.501942580775733</v>
      </c>
      <c r="BG44" s="67">
        <f t="shared" si="25"/>
        <v>1</v>
      </c>
    </row>
    <row r="45" spans="2:59" ht="12.75">
      <c r="B45" s="48">
        <f t="shared" si="12"/>
        <v>0.7499999999999997</v>
      </c>
      <c r="C45" s="2">
        <v>250</v>
      </c>
      <c r="D45" s="2">
        <v>3000</v>
      </c>
      <c r="E45" s="49">
        <f t="shared" si="35"/>
        <v>71</v>
      </c>
      <c r="G45" s="48">
        <v>1415.01</v>
      </c>
      <c r="H45" s="50">
        <v>2197.69</v>
      </c>
      <c r="I45" s="49">
        <f t="shared" si="0"/>
        <v>27.916666666666686</v>
      </c>
      <c r="K45" s="74">
        <v>-434.89577149</v>
      </c>
      <c r="L45">
        <v>1095.0674873</v>
      </c>
      <c r="M45" s="49">
        <f t="shared" si="27"/>
        <v>67.325</v>
      </c>
      <c r="O45" s="74">
        <v>-44.0706962899999</v>
      </c>
      <c r="P45" s="76">
        <v>1632.56844629</v>
      </c>
      <c r="Q45" s="49">
        <v>59.6</v>
      </c>
      <c r="S45" s="74">
        <v>-170.28</v>
      </c>
      <c r="T45" s="76">
        <v>1433.68680469</v>
      </c>
      <c r="U45" s="49">
        <v>77.3</v>
      </c>
      <c r="W45" s="48">
        <f t="shared" si="13"/>
        <v>1253.736</v>
      </c>
      <c r="X45" s="50">
        <f t="shared" si="28"/>
        <v>1253736</v>
      </c>
      <c r="Y45" s="50">
        <f t="shared" si="14"/>
        <v>1095.0674873</v>
      </c>
      <c r="Z45" s="50">
        <f t="shared" si="15"/>
        <v>-434.89577149</v>
      </c>
      <c r="AA45" s="55">
        <f t="shared" si="1"/>
        <v>0.01</v>
      </c>
      <c r="AB45" s="2"/>
      <c r="AC45" s="48">
        <f t="shared" si="16"/>
        <v>0.01</v>
      </c>
      <c r="AD45" s="50">
        <f t="shared" si="2"/>
        <v>-9.741435638354565</v>
      </c>
      <c r="AE45" s="50">
        <f t="shared" si="17"/>
        <v>-0.0008638478483531621</v>
      </c>
      <c r="AF45" s="57">
        <f t="shared" si="3"/>
        <v>3.7564357010939504E-14</v>
      </c>
      <c r="AG45" s="57">
        <f t="shared" si="4"/>
        <v>-3.7564398538312147E-14</v>
      </c>
      <c r="AH45" s="57">
        <f t="shared" si="29"/>
        <v>3.2904527028893072E-22</v>
      </c>
      <c r="AI45" s="57">
        <f t="shared" si="30"/>
        <v>4.176863227474586E-22</v>
      </c>
      <c r="AJ45" s="57">
        <f t="shared" si="31"/>
        <v>8.864105245852793E-23</v>
      </c>
      <c r="AK45" s="57">
        <f t="shared" si="18"/>
        <v>-20.087</v>
      </c>
      <c r="AL45" s="57">
        <f t="shared" si="19"/>
        <v>8.226131757223268E-22</v>
      </c>
      <c r="AM45" s="58">
        <f t="shared" si="20"/>
        <v>2.5</v>
      </c>
      <c r="AN45" s="57">
        <f t="shared" si="21"/>
        <v>2.2160263114631983E-22</v>
      </c>
      <c r="AO45" s="57">
        <f t="shared" si="32"/>
        <v>8.864105245852793E-23</v>
      </c>
      <c r="AP45" s="57">
        <f t="shared" si="33"/>
        <v>-8.0348</v>
      </c>
      <c r="AQ45" s="58">
        <f t="shared" si="34"/>
        <v>-8.0348</v>
      </c>
      <c r="AR45" s="49">
        <f t="shared" si="5"/>
        <v>0</v>
      </c>
      <c r="AT45" s="61">
        <f t="shared" si="6"/>
        <v>3.244992485200161E-15</v>
      </c>
      <c r="AU45" s="62">
        <f t="shared" si="23"/>
        <v>3.244988897867011E-15</v>
      </c>
      <c r="AW45" s="48">
        <f>IF(OR($I$6=1,$I$6=0),-15-0.012*AD45+$L$6,IF(I6=2,-5.31-0.007992*AD45+$L$6,0))</f>
        <v>0</v>
      </c>
      <c r="AX45" s="50">
        <f>IF(OR($I$6=1,$I$6=0),16.81-0.00692*AD45-0.27937*E45+$L$6,IF(I6=2,7.2936-0.006277*AD45+$L$6,0))</f>
        <v>0</v>
      </c>
      <c r="AY45" s="50">
        <f t="shared" si="7"/>
        <v>-2.849</v>
      </c>
      <c r="AZ45" s="50">
        <f t="shared" si="8"/>
        <v>0.8378</v>
      </c>
      <c r="BA45" s="49">
        <f t="shared" si="9"/>
        <v>-2.0112</v>
      </c>
      <c r="BC45" s="65">
        <f t="shared" si="10"/>
        <v>-9.751435638354565</v>
      </c>
      <c r="BD45" s="50">
        <f t="shared" si="11"/>
        <v>-9.751435638354565</v>
      </c>
      <c r="BE45" s="49">
        <f t="shared" si="24"/>
        <v>-9.751435638354565</v>
      </c>
      <c r="BG45" s="67">
        <f t="shared" si="25"/>
        <v>1</v>
      </c>
    </row>
    <row r="46" spans="2:59" ht="12.75">
      <c r="B46" s="48">
        <f t="shared" si="12"/>
        <v>0.7727272727272724</v>
      </c>
      <c r="C46" s="2">
        <v>200</v>
      </c>
      <c r="D46" s="2">
        <v>2800</v>
      </c>
      <c r="E46" s="49">
        <f t="shared" si="35"/>
        <v>70</v>
      </c>
      <c r="G46" s="48">
        <v>1318.98</v>
      </c>
      <c r="H46" s="50">
        <v>1822.74</v>
      </c>
      <c r="I46" s="49">
        <f t="shared" si="0"/>
        <v>26.590909090909115</v>
      </c>
      <c r="K46" s="74">
        <v>-467.68066602</v>
      </c>
      <c r="L46">
        <v>1081.71429492</v>
      </c>
      <c r="M46" s="49">
        <f t="shared" si="27"/>
        <v>69.11363636363636</v>
      </c>
      <c r="O46" s="74">
        <v>210.21765723</v>
      </c>
      <c r="P46" s="76">
        <v>1745.49302051</v>
      </c>
      <c r="Q46" s="49">
        <v>60.9</v>
      </c>
      <c r="S46" s="74">
        <v>-152.2902265</v>
      </c>
      <c r="T46" s="76">
        <v>1620.39074609</v>
      </c>
      <c r="U46" s="49">
        <v>77.7</v>
      </c>
      <c r="W46" s="48">
        <f t="shared" si="13"/>
        <v>1291.728</v>
      </c>
      <c r="X46" s="50">
        <f t="shared" si="28"/>
        <v>1291728</v>
      </c>
      <c r="Y46" s="50">
        <f t="shared" si="14"/>
        <v>1081.71429492</v>
      </c>
      <c r="Z46" s="50">
        <f t="shared" si="15"/>
        <v>-467.68066602</v>
      </c>
      <c r="AA46" s="55">
        <f t="shared" si="1"/>
        <v>0.01</v>
      </c>
      <c r="AB46" s="2"/>
      <c r="AC46" s="48">
        <f t="shared" si="16"/>
        <v>0.01</v>
      </c>
      <c r="AD46" s="50">
        <f t="shared" si="2"/>
        <v>-37.12667232849093</v>
      </c>
      <c r="AE46" s="50">
        <f t="shared" si="17"/>
        <v>-0.00045864027526492767</v>
      </c>
      <c r="AF46" s="57">
        <f t="shared" si="3"/>
        <v>1.3613106421099755E-14</v>
      </c>
      <c r="AG46" s="57">
        <f t="shared" si="4"/>
        <v>-1.3613118126986611E-14</v>
      </c>
      <c r="AH46" s="57">
        <f t="shared" si="29"/>
        <v>8.864105245852793E-23</v>
      </c>
      <c r="AI46" s="57">
        <f t="shared" si="30"/>
        <v>1.477722148676887E-22</v>
      </c>
      <c r="AJ46" s="57">
        <f t="shared" si="31"/>
        <v>5.913116240916077E-23</v>
      </c>
      <c r="AK46" s="57">
        <f t="shared" si="18"/>
        <v>-20.087</v>
      </c>
      <c r="AL46" s="57">
        <f t="shared" si="19"/>
        <v>2.2160263114631983E-22</v>
      </c>
      <c r="AM46" s="58">
        <f t="shared" si="20"/>
        <v>2.5</v>
      </c>
      <c r="AN46" s="57">
        <f t="shared" si="21"/>
        <v>1.4782790602290192E-22</v>
      </c>
      <c r="AO46" s="57">
        <f t="shared" si="32"/>
        <v>5.913116240916077E-23</v>
      </c>
      <c r="AP46" s="57">
        <f t="shared" si="33"/>
        <v>-8.0348</v>
      </c>
      <c r="AQ46" s="58">
        <f t="shared" si="34"/>
        <v>-8.0348</v>
      </c>
      <c r="AR46" s="49">
        <f t="shared" si="5"/>
        <v>0</v>
      </c>
      <c r="AT46" s="61">
        <f t="shared" si="6"/>
        <v>6.243524244975116E-16</v>
      </c>
      <c r="AU46" s="62">
        <f t="shared" si="23"/>
        <v>6.243518876183945E-16</v>
      </c>
      <c r="AW46" s="48">
        <f>IF(OR($I$6=1,$I$6=0),-15-0.012*AD46+$L$6,IF(I6=2,-5.31-0.007992*AD46+$L$6,0))</f>
        <v>0</v>
      </c>
      <c r="AX46" s="50">
        <f>IF(OR($I$6=1,$I$6=0),16.81-0.00692*AD46-0.27937*E46+$L$6,IF(I6=2,7.2936-0.006277*AD46+$L$6,0))</f>
        <v>0</v>
      </c>
      <c r="AY46" s="50">
        <f t="shared" si="7"/>
        <v>-2.849</v>
      </c>
      <c r="AZ46" s="50">
        <f t="shared" si="8"/>
        <v>0.8378</v>
      </c>
      <c r="BA46" s="49">
        <f t="shared" si="9"/>
        <v>-2.0112</v>
      </c>
      <c r="BC46" s="65">
        <f t="shared" si="10"/>
        <v>-37.13667232849093</v>
      </c>
      <c r="BD46" s="50">
        <f t="shared" si="11"/>
        <v>-37.13667232849093</v>
      </c>
      <c r="BE46" s="49">
        <f t="shared" si="24"/>
        <v>-37.13667232849093</v>
      </c>
      <c r="BG46" s="67">
        <f t="shared" si="25"/>
        <v>1</v>
      </c>
    </row>
    <row r="47" spans="2:59" ht="12.75">
      <c r="B47" s="48">
        <f t="shared" si="12"/>
        <v>0.7954545454545451</v>
      </c>
      <c r="C47" s="2">
        <v>0</v>
      </c>
      <c r="D47" s="2">
        <v>2510</v>
      </c>
      <c r="E47" s="49">
        <f t="shared" si="35"/>
        <v>69</v>
      </c>
      <c r="G47" s="48">
        <v>856.985</v>
      </c>
      <c r="H47" s="50">
        <v>856.985</v>
      </c>
      <c r="I47" s="49">
        <f t="shared" si="0"/>
        <v>25.265151515151537</v>
      </c>
      <c r="K47" s="74">
        <v>-487.81335449</v>
      </c>
      <c r="L47">
        <v>1107.17199707</v>
      </c>
      <c r="M47" s="49">
        <f t="shared" si="27"/>
        <v>70.90227272727272</v>
      </c>
      <c r="O47" s="74">
        <v>662.56524414</v>
      </c>
      <c r="P47" s="76">
        <v>1680.60014258</v>
      </c>
      <c r="Q47" s="49">
        <v>62.2</v>
      </c>
      <c r="S47" s="74">
        <v>-52.4019775</v>
      </c>
      <c r="T47" s="76">
        <v>1779.5916748</v>
      </c>
      <c r="U47" s="49">
        <v>78</v>
      </c>
      <c r="W47" s="48">
        <f t="shared" si="13"/>
        <v>1329.72</v>
      </c>
      <c r="X47" s="50">
        <f t="shared" si="28"/>
        <v>1329720</v>
      </c>
      <c r="Y47" s="50">
        <f t="shared" si="14"/>
        <v>1107.17199707</v>
      </c>
      <c r="Z47" s="50">
        <f t="shared" si="15"/>
        <v>-487.81335449</v>
      </c>
      <c r="AA47" s="55">
        <f t="shared" si="1"/>
        <v>0.01</v>
      </c>
      <c r="AB47" s="2"/>
      <c r="AC47" s="48">
        <f t="shared" si="16"/>
        <v>0.01</v>
      </c>
      <c r="AD47" s="50">
        <f t="shared" si="2"/>
        <v>-44.59075831408483</v>
      </c>
      <c r="AE47" s="50">
        <f t="shared" si="17"/>
        <v>0.0005408215581611692</v>
      </c>
      <c r="AF47" s="57">
        <f t="shared" si="3"/>
        <v>2.0526645818845486E-14</v>
      </c>
      <c r="AG47" s="57">
        <f t="shared" si="4"/>
        <v>-2.0526662095604496E-14</v>
      </c>
      <c r="AH47" s="57">
        <f t="shared" si="29"/>
        <v>5.913116240916077E-23</v>
      </c>
      <c r="AI47" s="57">
        <f t="shared" si="30"/>
        <v>4.496712468391959E-22</v>
      </c>
      <c r="AJ47" s="57">
        <f t="shared" si="31"/>
        <v>3.905400844300352E-22</v>
      </c>
      <c r="AK47" s="57">
        <f t="shared" si="18"/>
        <v>-20.087</v>
      </c>
      <c r="AL47" s="57">
        <f t="shared" si="19"/>
        <v>1.4782790602290192E-22</v>
      </c>
      <c r="AM47" s="58">
        <f t="shared" si="20"/>
        <v>2.5</v>
      </c>
      <c r="AN47" s="57">
        <f t="shared" si="21"/>
        <v>9.76350211075088E-22</v>
      </c>
      <c r="AO47" s="57">
        <f t="shared" si="32"/>
        <v>3.905400844300352E-22</v>
      </c>
      <c r="AP47" s="57">
        <f t="shared" si="33"/>
        <v>-8.0348</v>
      </c>
      <c r="AQ47" s="58">
        <f t="shared" si="34"/>
        <v>-8.0348</v>
      </c>
      <c r="AR47" s="49">
        <f t="shared" si="5"/>
        <v>0</v>
      </c>
      <c r="AT47" s="61">
        <f t="shared" si="6"/>
        <v>1.1101261378392635E-15</v>
      </c>
      <c r="AU47" s="62">
        <f t="shared" si="23"/>
        <v>1.1101252575570465E-15</v>
      </c>
      <c r="AW47" s="48">
        <f>IF(OR($I$6=1,$I$6=0),-15-0.012*AD47+$L$6,IF(I6=2,-5.31-0.007992*AD47+$L$6,0))</f>
        <v>0</v>
      </c>
      <c r="AX47" s="50">
        <f>IF(OR($I$6=1,$I$6=0),16.81-0.00692*AD47-0.27937*E47+$L$6,IF(I6=2,7.2936-0.006277*AD47+$L$6,0))</f>
        <v>0</v>
      </c>
      <c r="AY47" s="50">
        <f t="shared" si="7"/>
        <v>-2.849</v>
      </c>
      <c r="AZ47" s="50">
        <f t="shared" si="8"/>
        <v>0.8378</v>
      </c>
      <c r="BA47" s="49">
        <f t="shared" si="9"/>
        <v>-2.0112</v>
      </c>
      <c r="BC47" s="65">
        <f t="shared" si="10"/>
        <v>-44.60075831408483</v>
      </c>
      <c r="BD47" s="50">
        <f t="shared" si="11"/>
        <v>-44.60075831408483</v>
      </c>
      <c r="BE47" s="49">
        <f t="shared" si="24"/>
        <v>-44.60075831408483</v>
      </c>
      <c r="BG47" s="67">
        <f t="shared" si="25"/>
        <v>1</v>
      </c>
    </row>
    <row r="48" spans="2:59" ht="12.75">
      <c r="B48" s="48">
        <f t="shared" si="12"/>
        <v>0.8181818181818178</v>
      </c>
      <c r="C48" s="2">
        <v>-200</v>
      </c>
      <c r="D48" s="2">
        <v>2420</v>
      </c>
      <c r="E48" s="49">
        <f t="shared" si="35"/>
        <v>68</v>
      </c>
      <c r="G48" s="48">
        <v>-170.996</v>
      </c>
      <c r="H48" s="50">
        <v>-170.996</v>
      </c>
      <c r="I48" s="49">
        <f t="shared" si="0"/>
        <v>23.939393939393966</v>
      </c>
      <c r="K48" s="74">
        <v>-432.98367188</v>
      </c>
      <c r="L48">
        <v>1139.43136621</v>
      </c>
      <c r="M48" s="49">
        <f t="shared" si="27"/>
        <v>72.69090909090907</v>
      </c>
      <c r="O48" s="74">
        <v>627.975247559</v>
      </c>
      <c r="P48" s="76">
        <v>1394.01787793</v>
      </c>
      <c r="Q48" s="49">
        <v>63.6</v>
      </c>
      <c r="S48" s="74">
        <v>1.43664551</v>
      </c>
      <c r="T48" s="76">
        <v>1898.62652832</v>
      </c>
      <c r="U48" s="49">
        <v>78.3</v>
      </c>
      <c r="W48" s="48">
        <f t="shared" si="13"/>
        <v>1367.712</v>
      </c>
      <c r="X48" s="50">
        <f t="shared" si="28"/>
        <v>1367712</v>
      </c>
      <c r="Y48" s="50">
        <f t="shared" si="14"/>
        <v>1139.43136621</v>
      </c>
      <c r="Z48" s="50">
        <f t="shared" si="15"/>
        <v>-432.98367188</v>
      </c>
      <c r="AA48" s="55">
        <f t="shared" si="1"/>
        <v>0.01</v>
      </c>
      <c r="AB48" s="2"/>
      <c r="AC48" s="48">
        <f t="shared" si="16"/>
        <v>0.01</v>
      </c>
      <c r="AD48" s="50">
        <f t="shared" si="2"/>
        <v>3.967112946827351</v>
      </c>
      <c r="AE48" s="50">
        <f t="shared" si="17"/>
        <v>0.0021270405288525253</v>
      </c>
      <c r="AF48" s="57">
        <f t="shared" si="3"/>
        <v>2.049540695461324E-13</v>
      </c>
      <c r="AG48" s="57">
        <f t="shared" si="4"/>
        <v>-2.049543213204766E-13</v>
      </c>
      <c r="AH48" s="57">
        <f t="shared" si="29"/>
        <v>3.905400844300352E-22</v>
      </c>
      <c r="AI48" s="57">
        <f t="shared" si="30"/>
        <v>1.1461538176612483E-21</v>
      </c>
      <c r="AJ48" s="57">
        <f t="shared" si="31"/>
        <v>7.55613733231213E-22</v>
      </c>
      <c r="AK48" s="57">
        <f t="shared" si="18"/>
        <v>-20.083177614178457</v>
      </c>
      <c r="AL48" s="57">
        <f t="shared" si="19"/>
        <v>9.76350211075088E-22</v>
      </c>
      <c r="AM48" s="58">
        <f t="shared" si="20"/>
        <v>2.5</v>
      </c>
      <c r="AN48" s="57">
        <f t="shared" si="21"/>
        <v>1.8890343330780326E-21</v>
      </c>
      <c r="AO48" s="57">
        <f t="shared" si="32"/>
        <v>7.55613733231213E-22</v>
      </c>
      <c r="AP48" s="57">
        <f t="shared" si="33"/>
        <v>-8.033271045671382</v>
      </c>
      <c r="AQ48" s="58">
        <f t="shared" si="34"/>
        <v>-8.033271045671382</v>
      </c>
      <c r="AR48" s="49">
        <f t="shared" si="5"/>
        <v>0</v>
      </c>
      <c r="AT48" s="61">
        <f t="shared" si="6"/>
        <v>4.359461480121169E-14</v>
      </c>
      <c r="AU48" s="62">
        <f t="shared" si="23"/>
        <v>4.359456124778827E-14</v>
      </c>
      <c r="AW48" s="48">
        <f>IF(OR($I$6=1,$I$6=0),-15-0.012*AD48+$L$6,IF(I6=2,-5.31-0.007992*AD48+$L$6,0))</f>
        <v>0</v>
      </c>
      <c r="AX48" s="50">
        <f>IF(OR($I$6=1,$I$6=0),16.81-0.00692*AD48-0.27937*E48+$L$6,IF(I6=2,7.2936-0.006277*AD48+$L$6,0))</f>
        <v>0</v>
      </c>
      <c r="AY48" s="50">
        <f t="shared" si="7"/>
        <v>-2.8486173598864903</v>
      </c>
      <c r="AZ48" s="50">
        <f t="shared" si="8"/>
        <v>0.8377995984686443</v>
      </c>
      <c r="BA48" s="49">
        <f t="shared" si="9"/>
        <v>-2.010817761417846</v>
      </c>
      <c r="BC48" s="65">
        <f t="shared" si="10"/>
        <v>3.957112946827351</v>
      </c>
      <c r="BD48" s="50">
        <f t="shared" si="11"/>
        <v>3.957112946827351</v>
      </c>
      <c r="BE48" s="49">
        <f t="shared" si="24"/>
        <v>3.957112946827351</v>
      </c>
      <c r="BG48" s="67">
        <f t="shared" si="25"/>
        <v>1</v>
      </c>
    </row>
    <row r="49" spans="2:59" ht="12.75">
      <c r="B49" s="48">
        <f t="shared" si="12"/>
        <v>0.8409090909090905</v>
      </c>
      <c r="C49" s="2">
        <v>-250</v>
      </c>
      <c r="D49" s="2">
        <v>2050</v>
      </c>
      <c r="E49" s="49">
        <f t="shared" si="35"/>
        <v>67</v>
      </c>
      <c r="G49" s="48">
        <v>-267.75</v>
      </c>
      <c r="H49" s="50">
        <v>-267.75</v>
      </c>
      <c r="I49" s="49">
        <f t="shared" si="0"/>
        <v>22.613636363636388</v>
      </c>
      <c r="K49" s="74">
        <v>-297.98730469</v>
      </c>
      <c r="L49">
        <v>1195.49694824</v>
      </c>
      <c r="M49" s="49">
        <f t="shared" si="27"/>
        <v>74.47954545454543</v>
      </c>
      <c r="O49" s="74">
        <v>530.946655275</v>
      </c>
      <c r="P49" s="76">
        <v>1130.1673584</v>
      </c>
      <c r="Q49" s="49">
        <v>65</v>
      </c>
      <c r="S49" s="74">
        <v>231.8977236</v>
      </c>
      <c r="T49" s="76">
        <v>1843.309079</v>
      </c>
      <c r="U49" s="49">
        <v>78.7</v>
      </c>
      <c r="W49" s="48">
        <f t="shared" si="13"/>
        <v>1405.704</v>
      </c>
      <c r="X49" s="50">
        <f t="shared" si="28"/>
        <v>1405704</v>
      </c>
      <c r="Y49" s="50">
        <f t="shared" si="14"/>
        <v>1195.49694824</v>
      </c>
      <c r="Z49" s="50">
        <f t="shared" si="15"/>
        <v>-297.98730469</v>
      </c>
      <c r="AA49" s="55">
        <f t="shared" si="1"/>
        <v>0.01</v>
      </c>
      <c r="AB49" s="2"/>
      <c r="AC49" s="48">
        <f t="shared" si="16"/>
        <v>0.01</v>
      </c>
      <c r="AD49" s="50">
        <f t="shared" si="2"/>
        <v>117.03028923024546</v>
      </c>
      <c r="AE49" s="50">
        <f t="shared" si="17"/>
        <v>0.003052962824031614</v>
      </c>
      <c r="AF49" s="57">
        <f t="shared" si="3"/>
        <v>2.3130390639351404E-13</v>
      </c>
      <c r="AG49" s="57">
        <f t="shared" si="4"/>
        <v>-2.313044250776618E-13</v>
      </c>
      <c r="AH49" s="57">
        <f t="shared" si="29"/>
        <v>7.55613733231213E-22</v>
      </c>
      <c r="AI49" s="57">
        <f t="shared" si="30"/>
        <v>1.3107428501042332E-21</v>
      </c>
      <c r="AJ49" s="57">
        <f t="shared" si="31"/>
        <v>5.551291168730201E-22</v>
      </c>
      <c r="AK49" s="57">
        <f t="shared" si="18"/>
        <v>-16.947582354417612</v>
      </c>
      <c r="AL49" s="57">
        <f t="shared" si="19"/>
        <v>1.8890343330780326E-21</v>
      </c>
      <c r="AM49" s="58">
        <f t="shared" si="20"/>
        <v>2.5</v>
      </c>
      <c r="AN49" s="57">
        <f t="shared" si="21"/>
        <v>1.3878227921825504E-21</v>
      </c>
      <c r="AO49" s="57">
        <f t="shared" si="32"/>
        <v>5.551291168730201E-22</v>
      </c>
      <c r="AP49" s="57">
        <f t="shared" si="33"/>
        <v>-6.779032941767045</v>
      </c>
      <c r="AQ49" s="58">
        <f t="shared" si="34"/>
        <v>-6.779032941767045</v>
      </c>
      <c r="AR49" s="49">
        <f t="shared" si="5"/>
        <v>0</v>
      </c>
      <c r="AT49" s="61">
        <f t="shared" si="6"/>
        <v>7.061638107961071E-14</v>
      </c>
      <c r="AU49" s="62">
        <f t="shared" si="23"/>
        <v>7.061622272726867E-14</v>
      </c>
      <c r="AW49" s="48">
        <f>IF(OR($I$6=1,$I$6=0),-15-0.012*AD49+$L$6,IF(I6=2,-5.31-0.007992*AD49+$L$6,0))</f>
        <v>0</v>
      </c>
      <c r="AX49" s="50">
        <f>IF(OR($I$6=1,$I$6=0),16.81-0.00692*AD49-0.27937*E49+$L$6,IF(I6=2,7.2936-0.006277*AD49+$L$6,0))</f>
        <v>0</v>
      </c>
      <c r="AY49" s="50">
        <f t="shared" si="7"/>
        <v>-2.53470887282721</v>
      </c>
      <c r="AZ49" s="50">
        <f t="shared" si="8"/>
        <v>0.8374506373854486</v>
      </c>
      <c r="BA49" s="49">
        <f t="shared" si="9"/>
        <v>-1.6972582354417614</v>
      </c>
      <c r="BC49" s="65">
        <f t="shared" si="10"/>
        <v>117.02028923024545</v>
      </c>
      <c r="BD49" s="50">
        <f t="shared" si="11"/>
        <v>117.02028923024545</v>
      </c>
      <c r="BE49" s="49">
        <f t="shared" si="24"/>
        <v>117.02028923024545</v>
      </c>
      <c r="BG49" s="67">
        <f t="shared" si="25"/>
        <v>1</v>
      </c>
    </row>
    <row r="50" spans="2:59" ht="12.75">
      <c r="B50" s="48">
        <f t="shared" si="12"/>
        <v>0.8636363636363632</v>
      </c>
      <c r="C50" s="2">
        <v>-200</v>
      </c>
      <c r="D50" s="2">
        <v>1350</v>
      </c>
      <c r="E50" s="49">
        <f t="shared" si="35"/>
        <v>66</v>
      </c>
      <c r="G50" s="48">
        <v>5.62864</v>
      </c>
      <c r="H50" s="50">
        <v>5.62864</v>
      </c>
      <c r="I50" s="49">
        <f t="shared" si="0"/>
        <v>21.287878787878817</v>
      </c>
      <c r="K50" s="74">
        <v>-160.31266699</v>
      </c>
      <c r="L50">
        <v>1265.65478516</v>
      </c>
      <c r="M50" s="49">
        <f t="shared" si="27"/>
        <v>76.26818181818179</v>
      </c>
      <c r="O50" s="74">
        <v>130.490087891</v>
      </c>
      <c r="P50" s="76">
        <v>812.910225098</v>
      </c>
      <c r="Q50" s="49">
        <v>66.3</v>
      </c>
      <c r="S50" s="74">
        <v>145.4631347</v>
      </c>
      <c r="T50" s="76">
        <v>1569.76037598</v>
      </c>
      <c r="U50" s="49">
        <v>79</v>
      </c>
      <c r="W50" s="48">
        <f t="shared" si="13"/>
        <v>1443.696</v>
      </c>
      <c r="X50" s="50">
        <f t="shared" si="28"/>
        <v>1443696</v>
      </c>
      <c r="Y50" s="50">
        <f t="shared" si="14"/>
        <v>1265.65478516</v>
      </c>
      <c r="Z50" s="50">
        <f t="shared" si="15"/>
        <v>-160.31266699</v>
      </c>
      <c r="AA50" s="55">
        <f t="shared" si="1"/>
        <v>0.01</v>
      </c>
      <c r="AB50" s="2"/>
      <c r="AC50" s="48">
        <f t="shared" si="16"/>
        <v>0.01</v>
      </c>
      <c r="AD50" s="50">
        <f t="shared" si="2"/>
        <v>235.9434401680455</v>
      </c>
      <c r="AE50" s="50">
        <f t="shared" si="17"/>
        <v>0.0023030365091981906</v>
      </c>
      <c r="AF50" s="57">
        <f t="shared" si="3"/>
        <v>8.920286447549878E-14</v>
      </c>
      <c r="AG50" s="57">
        <f t="shared" si="4"/>
        <v>-8.920315963827649E-14</v>
      </c>
      <c r="AH50" s="57">
        <f t="shared" si="29"/>
        <v>5.551291168730201E-22</v>
      </c>
      <c r="AI50" s="57">
        <f t="shared" si="30"/>
        <v>7.627368485737266E-22</v>
      </c>
      <c r="AJ50" s="57">
        <f t="shared" si="31"/>
        <v>2.076077317007066E-22</v>
      </c>
      <c r="AK50" s="57">
        <f t="shared" si="18"/>
        <v>-9.326752919918345</v>
      </c>
      <c r="AL50" s="57">
        <f t="shared" si="19"/>
        <v>1.3878227921825504E-21</v>
      </c>
      <c r="AM50" s="58">
        <f t="shared" si="20"/>
        <v>2.5</v>
      </c>
      <c r="AN50" s="57">
        <f t="shared" si="21"/>
        <v>5.190193292517665E-22</v>
      </c>
      <c r="AO50" s="57">
        <f t="shared" si="32"/>
        <v>2.0760773170070663E-22</v>
      </c>
      <c r="AP50" s="57">
        <f t="shared" si="33"/>
        <v>-3.730701167967338</v>
      </c>
      <c r="AQ50" s="58">
        <f t="shared" si="34"/>
        <v>-3.730701167967338</v>
      </c>
      <c r="AR50" s="49">
        <f t="shared" si="5"/>
        <v>0</v>
      </c>
      <c r="AT50" s="61">
        <f t="shared" si="6"/>
        <v>2.0543813338278524E-14</v>
      </c>
      <c r="AU50" s="62">
        <f t="shared" si="23"/>
        <v>2.05437453612132E-14</v>
      </c>
      <c r="AW50" s="48">
        <f>IF(OR($I$6=1,$I$6=0),-15-0.012*AD50+$L$6,IF(I6=2,-5.31-0.007992*AD50+$L$6,0))</f>
        <v>0</v>
      </c>
      <c r="AX50" s="50">
        <f>IF(OR($I$6=1,$I$6=0),16.81-0.00692*AD50-0.27937*E50+$L$6,IF(I6=2,7.2936-0.006277*AD50+$L$6,0))</f>
        <v>0</v>
      </c>
      <c r="AY50" s="50">
        <f t="shared" si="7"/>
        <v>-1.7715561750785838</v>
      </c>
      <c r="AZ50" s="50">
        <f t="shared" si="8"/>
        <v>0.8363808830867493</v>
      </c>
      <c r="BA50" s="49">
        <f t="shared" si="9"/>
        <v>-0.9351752919918345</v>
      </c>
      <c r="BC50" s="65">
        <f t="shared" si="10"/>
        <v>235.9334401680455</v>
      </c>
      <c r="BD50" s="50">
        <f t="shared" si="11"/>
        <v>235.9334401680455</v>
      </c>
      <c r="BE50" s="49">
        <f t="shared" si="24"/>
        <v>235.9334401680455</v>
      </c>
      <c r="BG50" s="67">
        <f t="shared" si="25"/>
        <v>1</v>
      </c>
    </row>
    <row r="51" spans="2:59" ht="12.75">
      <c r="B51" s="48">
        <f t="shared" si="12"/>
        <v>0.8863636363636359</v>
      </c>
      <c r="C51" s="2">
        <v>0</v>
      </c>
      <c r="D51" s="2">
        <v>675</v>
      </c>
      <c r="E51" s="49">
        <f t="shared" si="35"/>
        <v>65</v>
      </c>
      <c r="G51" s="48">
        <v>192.311</v>
      </c>
      <c r="H51" s="50">
        <v>192.311</v>
      </c>
      <c r="I51" s="49">
        <f t="shared" si="0"/>
        <v>19.96212121212124</v>
      </c>
      <c r="K51" s="74">
        <v>-86.1911621099998</v>
      </c>
      <c r="L51">
        <v>1274.85327148</v>
      </c>
      <c r="M51" s="49">
        <f t="shared" si="27"/>
        <v>78.05681818181814</v>
      </c>
      <c r="O51" s="74">
        <v>-72.9352412109999</v>
      </c>
      <c r="P51" s="76">
        <v>611.44535498</v>
      </c>
      <c r="Q51" s="49">
        <v>67.6</v>
      </c>
      <c r="S51" s="74">
        <v>22.07587989</v>
      </c>
      <c r="T51" s="76">
        <v>1351.05332031</v>
      </c>
      <c r="U51" s="49">
        <v>79.3</v>
      </c>
      <c r="W51" s="48">
        <f t="shared" si="13"/>
        <v>1481.688</v>
      </c>
      <c r="X51" s="50">
        <f t="shared" si="28"/>
        <v>1481688</v>
      </c>
      <c r="Y51" s="50">
        <f t="shared" si="14"/>
        <v>1274.85327148</v>
      </c>
      <c r="Z51" s="50">
        <f t="shared" si="15"/>
        <v>-86.1911621099998</v>
      </c>
      <c r="AA51" s="55">
        <f t="shared" si="1"/>
        <v>0.01</v>
      </c>
      <c r="AB51" s="2"/>
      <c r="AC51" s="48">
        <f t="shared" si="16"/>
        <v>0.01</v>
      </c>
      <c r="AD51" s="50">
        <f t="shared" si="2"/>
        <v>292.02421534516077</v>
      </c>
      <c r="AE51" s="50">
        <f t="shared" si="17"/>
        <v>0.0014491959736097953</v>
      </c>
      <c r="AF51" s="57">
        <f t="shared" si="3"/>
        <v>3.066046443346299E-14</v>
      </c>
      <c r="AG51" s="57">
        <f t="shared" si="4"/>
        <v>-3.0660581306459955E-14</v>
      </c>
      <c r="AH51" s="57">
        <f t="shared" si="29"/>
        <v>2.076077317007066E-22</v>
      </c>
      <c r="AI51" s="57">
        <f t="shared" si="30"/>
        <v>2.6073591559646027E-22</v>
      </c>
      <c r="AJ51" s="57">
        <f t="shared" si="31"/>
        <v>5.312818389575367E-23</v>
      </c>
      <c r="AK51" s="57">
        <f t="shared" si="18"/>
        <v>-5.378467933404476</v>
      </c>
      <c r="AL51" s="57">
        <f t="shared" si="19"/>
        <v>5.190193292517665E-22</v>
      </c>
      <c r="AM51" s="58">
        <f t="shared" si="20"/>
        <v>2.5</v>
      </c>
      <c r="AN51" s="57">
        <f t="shared" si="21"/>
        <v>1.3282045973938419E-22</v>
      </c>
      <c r="AO51" s="57">
        <f t="shared" si="32"/>
        <v>5.312818389575367E-23</v>
      </c>
      <c r="AP51" s="57">
        <f t="shared" si="33"/>
        <v>-2.1513871733617904</v>
      </c>
      <c r="AQ51" s="58">
        <f t="shared" si="34"/>
        <v>-2.1513871733617904</v>
      </c>
      <c r="AR51" s="49">
        <f t="shared" si="5"/>
        <v>0</v>
      </c>
      <c r="AT51" s="61">
        <f t="shared" si="6"/>
        <v>4.4433190977857526E-15</v>
      </c>
      <c r="AU51" s="62">
        <f t="shared" si="23"/>
        <v>4.4433021605980905E-15</v>
      </c>
      <c r="AW51" s="48">
        <f>IF(OR($I$6=1,$I$6=0),-15-0.012*AD51+$L$6,IF(I6=2,-5.31-0.007992*AD51+$L$6,0))</f>
        <v>0</v>
      </c>
      <c r="AX51" s="50">
        <f>IF(OR($I$6=1,$I$6=0),16.81-0.00692*AD51-0.27937*E51+$L$6,IF(I6=2,7.2936-0.006277*AD51+$L$6,0))</f>
        <v>0</v>
      </c>
      <c r="AY51" s="50">
        <f t="shared" si="7"/>
        <v>-1.3759738701952127</v>
      </c>
      <c r="AZ51" s="50">
        <f t="shared" si="8"/>
        <v>0.8356270768547651</v>
      </c>
      <c r="BA51" s="49">
        <f t="shared" si="9"/>
        <v>-0.5403467933404476</v>
      </c>
      <c r="BC51" s="65">
        <f t="shared" si="10"/>
        <v>292.0142153451608</v>
      </c>
      <c r="BD51" s="50">
        <f t="shared" si="11"/>
        <v>292.0142153451608</v>
      </c>
      <c r="BE51" s="49">
        <f t="shared" si="24"/>
        <v>292.0142153451608</v>
      </c>
      <c r="BG51" s="67">
        <f t="shared" si="25"/>
        <v>1</v>
      </c>
    </row>
    <row r="52" spans="2:59" ht="12.75">
      <c r="B52" s="48">
        <f t="shared" si="12"/>
        <v>0.9090909090909086</v>
      </c>
      <c r="C52" s="50">
        <v>-0.1</v>
      </c>
      <c r="D52" s="50">
        <v>-0.1</v>
      </c>
      <c r="E52" s="49">
        <f>E51-1</f>
        <v>64</v>
      </c>
      <c r="G52" s="48">
        <v>323.31</v>
      </c>
      <c r="H52" s="50">
        <v>323.31</v>
      </c>
      <c r="I52" s="49">
        <f t="shared" si="0"/>
        <v>18.63636363636367</v>
      </c>
      <c r="K52" s="74">
        <v>10.7545859300001</v>
      </c>
      <c r="L52">
        <v>1217.37623437</v>
      </c>
      <c r="M52" s="49">
        <f t="shared" si="27"/>
        <v>79.8454545454545</v>
      </c>
      <c r="O52" s="74">
        <v>-199.957733154</v>
      </c>
      <c r="P52" s="76">
        <v>496.841888428</v>
      </c>
      <c r="Q52" s="49">
        <v>69</v>
      </c>
      <c r="S52" s="74">
        <v>60.51003808</v>
      </c>
      <c r="T52" s="76">
        <v>1193.07494531</v>
      </c>
      <c r="U52" s="49">
        <v>79.7</v>
      </c>
      <c r="W52" s="48">
        <f t="shared" si="13"/>
        <v>1519.68</v>
      </c>
      <c r="X52" s="50">
        <f t="shared" si="28"/>
        <v>1519680</v>
      </c>
      <c r="Y52" s="50">
        <f t="shared" si="14"/>
        <v>1217.37623437</v>
      </c>
      <c r="Z52" s="50">
        <f t="shared" si="15"/>
        <v>10.7545859300001</v>
      </c>
      <c r="AA52" s="55">
        <f t="shared" si="1"/>
        <v>0.01</v>
      </c>
      <c r="AB52" s="2"/>
      <c r="AC52" s="48">
        <f t="shared" si="16"/>
        <v>0.01</v>
      </c>
      <c r="AD52" s="50">
        <f t="shared" si="2"/>
        <v>346.0591470268122</v>
      </c>
      <c r="AE52" s="50">
        <f t="shared" si="17"/>
        <v>3.209033865993064E-05</v>
      </c>
      <c r="AF52" s="57">
        <f t="shared" si="3"/>
        <v>1.3338240178311564E-17</v>
      </c>
      <c r="AG52" s="57">
        <f t="shared" si="4"/>
        <v>-1.333829748542638E-17</v>
      </c>
      <c r="AH52" s="57">
        <f t="shared" si="29"/>
        <v>5.312818389575367E-23</v>
      </c>
      <c r="AI52" s="57">
        <f t="shared" si="30"/>
        <v>1.69052154296133E-22</v>
      </c>
      <c r="AJ52" s="57">
        <f t="shared" si="31"/>
        <v>1.159239704003793E-22</v>
      </c>
      <c r="AK52" s="57">
        <f t="shared" si="18"/>
        <v>-1.8796502275468214</v>
      </c>
      <c r="AL52" s="57">
        <f t="shared" si="19"/>
        <v>1.3282045973938419E-22</v>
      </c>
      <c r="AM52" s="58">
        <f t="shared" si="20"/>
        <v>2.5</v>
      </c>
      <c r="AN52" s="57">
        <f t="shared" si="21"/>
        <v>2.8980992600094827E-22</v>
      </c>
      <c r="AO52" s="57">
        <f t="shared" si="32"/>
        <v>1.159239704003793E-22</v>
      </c>
      <c r="AP52" s="57">
        <f t="shared" si="33"/>
        <v>-0.7518600910187285</v>
      </c>
      <c r="AQ52" s="58">
        <f>IF(AND($R$7=1,$R$6&lt;=Z52),AO52*AQ53+AP52,0)</f>
        <v>-0.7518600910187285</v>
      </c>
      <c r="AR52" s="49">
        <f t="shared" si="5"/>
        <v>0</v>
      </c>
      <c r="AT52" s="61">
        <f t="shared" si="6"/>
        <v>4.280304834542338E-20</v>
      </c>
      <c r="AU52" s="62">
        <f t="shared" si="23"/>
        <v>4.2802864444951165E-20</v>
      </c>
      <c r="AW52" s="48">
        <f>IF(OR($I$6=1,$I$6=0),-15-0.012*AD52+$L$6,IF(I6=2,-5.31-0.007992*AD52+$L$6,0))</f>
        <v>0</v>
      </c>
      <c r="AX52" s="50">
        <f>IF(OR($I$6=1,$I$6=0),16.81-0.00692*AD52-0.27937*E52+$L$6,IF(I6=2,7.2936-0.006277*AD52+$L$6,0))</f>
        <v>0</v>
      </c>
      <c r="AY52" s="50">
        <f t="shared" si="7"/>
        <v>-1.0252151661657334</v>
      </c>
      <c r="AZ52" s="50">
        <f t="shared" si="8"/>
        <v>0.8347501434110512</v>
      </c>
      <c r="BA52" s="49">
        <f t="shared" si="9"/>
        <v>-0.19046502275468213</v>
      </c>
      <c r="BC52" s="65">
        <f t="shared" si="10"/>
        <v>346.0491470268122</v>
      </c>
      <c r="BD52" s="50">
        <f t="shared" si="11"/>
        <v>346.0491470268122</v>
      </c>
      <c r="BE52" s="49">
        <f t="shared" si="24"/>
        <v>346.0491470268122</v>
      </c>
      <c r="BG52" s="67">
        <f t="shared" si="25"/>
        <v>1</v>
      </c>
    </row>
    <row r="53" spans="2:59" ht="12.75">
      <c r="B53" s="48">
        <f t="shared" si="12"/>
        <v>0.9318181818181813</v>
      </c>
      <c r="C53" s="50">
        <v>-50</v>
      </c>
      <c r="D53" s="50">
        <v>-50</v>
      </c>
      <c r="E53" s="49">
        <f>E52-1</f>
        <v>63</v>
      </c>
      <c r="G53" s="48">
        <v>-29.2944</v>
      </c>
      <c r="H53" s="50">
        <v>-29.2944</v>
      </c>
      <c r="I53" s="49">
        <f t="shared" si="0"/>
        <v>17.31060606060609</v>
      </c>
      <c r="K53" s="74">
        <v>16.0443706</v>
      </c>
      <c r="L53">
        <v>1017.94955078</v>
      </c>
      <c r="M53" s="49">
        <f t="shared" si="27"/>
        <v>81.63409090909086</v>
      </c>
      <c r="O53" s="74">
        <v>-169.124492676</v>
      </c>
      <c r="P53" s="76">
        <v>419.644180176</v>
      </c>
      <c r="Q53" s="49">
        <v>70.4</v>
      </c>
      <c r="S53" s="74">
        <v>198.74017333</v>
      </c>
      <c r="T53" s="76">
        <v>1159.91186523</v>
      </c>
      <c r="U53" s="49">
        <v>80</v>
      </c>
      <c r="W53" s="48">
        <f>X53/1000</f>
        <v>1557.672</v>
      </c>
      <c r="X53" s="50">
        <f>X52+$I$4</f>
        <v>1557672</v>
      </c>
      <c r="Y53" s="50">
        <f t="shared" si="14"/>
        <v>1017.94955078</v>
      </c>
      <c r="Z53" s="50">
        <f t="shared" si="15"/>
        <v>16.0443706</v>
      </c>
      <c r="AA53" s="55">
        <f t="shared" si="1"/>
        <v>0.01</v>
      </c>
      <c r="AB53" s="2"/>
      <c r="AC53" s="48">
        <f t="shared" si="16"/>
        <v>0.01</v>
      </c>
      <c r="AD53" s="50">
        <f t="shared" si="2"/>
        <v>294.46256763789694</v>
      </c>
      <c r="AE53" s="50">
        <f t="shared" si="17"/>
        <v>-0.0021470620877979732</v>
      </c>
      <c r="AF53" s="57">
        <f t="shared" si="3"/>
        <v>6.691590072733494E-14</v>
      </c>
      <c r="AG53" s="57">
        <f t="shared" si="4"/>
        <v>-6.691615726382593E-14</v>
      </c>
      <c r="AH53" s="57">
        <f t="shared" si="29"/>
        <v>1.159239704003793E-22</v>
      </c>
      <c r="AI53" s="57">
        <f t="shared" si="30"/>
        <v>2.9647573482190657E-22</v>
      </c>
      <c r="AJ53" s="57">
        <f t="shared" si="31"/>
        <v>1.8055176442152731E-22</v>
      </c>
      <c r="AK53" s="57">
        <f t="shared" si="18"/>
        <v>-5.211916827217272</v>
      </c>
      <c r="AL53" s="57">
        <f t="shared" si="19"/>
        <v>2.8980992600094827E-22</v>
      </c>
      <c r="AM53" s="58">
        <f t="shared" si="20"/>
        <v>2.5</v>
      </c>
      <c r="AN53" s="57">
        <f t="shared" si="21"/>
        <v>4.513794110538183E-22</v>
      </c>
      <c r="AO53" s="57">
        <f t="shared" si="32"/>
        <v>1.8055176442152734E-22</v>
      </c>
      <c r="AP53" s="57">
        <f t="shared" si="33"/>
        <v>-2.084766730886909</v>
      </c>
      <c r="AQ53" s="58">
        <f>IF(AND($R$7=1,$R$6&lt;=Z53),AO53*AQ54+AP53,0)</f>
        <v>-2.084766730886909</v>
      </c>
      <c r="AR53" s="49">
        <f t="shared" si="5"/>
        <v>0</v>
      </c>
      <c r="AT53" s="61">
        <f t="shared" si="6"/>
        <v>1.436731443222876E-14</v>
      </c>
      <c r="AU53" s="62">
        <f t="shared" si="23"/>
        <v>1.4367259352251367E-14</v>
      </c>
      <c r="AW53" s="48">
        <f>IF(OR($I$6=1,$I$6=0),-15-0.012*AD53+$L$6,IF(I6=2,-5.31-0.007992*AD53+$L$6,0))</f>
        <v>0</v>
      </c>
      <c r="AX53" s="50">
        <f>IF(OR($I$6=1,$I$6=0),16.81-0.00692*AD53-0.27937*E53+$L$6,IF(I6=2,7.2936-0.006277*AD53+$L$6,0))</f>
        <v>0</v>
      </c>
      <c r="AY53" s="50">
        <f t="shared" si="7"/>
        <v>-1.3592823690941709</v>
      </c>
      <c r="AZ53" s="50">
        <f t="shared" si="8"/>
        <v>0.8355906863724437</v>
      </c>
      <c r="BA53" s="49">
        <f t="shared" si="9"/>
        <v>-0.5236916827217272</v>
      </c>
      <c r="BC53" s="65">
        <f t="shared" si="10"/>
        <v>294.45256763789695</v>
      </c>
      <c r="BD53" s="50">
        <f t="shared" si="11"/>
        <v>294.45256763789695</v>
      </c>
      <c r="BE53" s="49">
        <f t="shared" si="24"/>
        <v>294.45256763789695</v>
      </c>
      <c r="BG53" s="67">
        <f t="shared" si="25"/>
        <v>1</v>
      </c>
    </row>
    <row r="54" spans="2:59" ht="12.75">
      <c r="B54" s="48">
        <f t="shared" si="12"/>
        <v>0.954545454545454</v>
      </c>
      <c r="C54" s="50">
        <v>-100</v>
      </c>
      <c r="D54" s="50">
        <v>-100</v>
      </c>
      <c r="E54" s="49">
        <f>E53-1</f>
        <v>62</v>
      </c>
      <c r="G54" s="48">
        <v>-80.286</v>
      </c>
      <c r="H54" s="50">
        <v>-80.286</v>
      </c>
      <c r="I54" s="49">
        <f t="shared" si="0"/>
        <v>15.98484848484852</v>
      </c>
      <c r="K54" s="74">
        <v>-45.2056679679999</v>
      </c>
      <c r="L54">
        <v>775.700638184</v>
      </c>
      <c r="M54" s="49">
        <f t="shared" si="27"/>
        <v>83.42272727272722</v>
      </c>
      <c r="O54" s="74">
        <v>-89.039345703</v>
      </c>
      <c r="P54" s="76">
        <v>342.348838623</v>
      </c>
      <c r="Q54" s="49">
        <v>71.7</v>
      </c>
      <c r="S54" s="74">
        <v>53.62270215</v>
      </c>
      <c r="T54" s="76">
        <v>1146.59588477</v>
      </c>
      <c r="U54" s="49">
        <v>80.3</v>
      </c>
      <c r="W54" s="48">
        <f>X54/1000</f>
        <v>1595.664</v>
      </c>
      <c r="X54" s="50">
        <f>X53+$I$4</f>
        <v>1595664</v>
      </c>
      <c r="Y54" s="50">
        <f t="shared" si="14"/>
        <v>775.700638184</v>
      </c>
      <c r="Z54" s="50">
        <f t="shared" si="15"/>
        <v>-45.2056679679999</v>
      </c>
      <c r="AA54" s="55">
        <f t="shared" si="1"/>
        <v>0.01</v>
      </c>
      <c r="AB54" s="2"/>
      <c r="AC54" s="48">
        <f t="shared" si="16"/>
        <v>0.01</v>
      </c>
      <c r="AD54" s="50">
        <f t="shared" si="2"/>
        <v>182.91678134757097</v>
      </c>
      <c r="AE54" s="50">
        <f t="shared" si="17"/>
        <v>-0.0013785656751104656</v>
      </c>
      <c r="AF54" s="57">
        <f t="shared" si="3"/>
        <v>3.732653054066778E-14</v>
      </c>
      <c r="AG54" s="57">
        <f t="shared" si="4"/>
        <v>-3.732663629906609E-14</v>
      </c>
      <c r="AH54" s="57">
        <f t="shared" si="29"/>
        <v>1.8055176442152731E-22</v>
      </c>
      <c r="AI54" s="57">
        <f t="shared" si="30"/>
        <v>5.703664458121642E-22</v>
      </c>
      <c r="AJ54" s="57">
        <f t="shared" si="31"/>
        <v>3.898146813906369E-22</v>
      </c>
      <c r="AK54" s="57">
        <f t="shared" si="18"/>
        <v>-13.01859524806822</v>
      </c>
      <c r="AL54" s="57">
        <f t="shared" si="19"/>
        <v>4.513794110538183E-22</v>
      </c>
      <c r="AM54" s="58">
        <f t="shared" si="20"/>
        <v>2.5</v>
      </c>
      <c r="AN54" s="57">
        <f t="shared" si="21"/>
        <v>9.745367034765922E-22</v>
      </c>
      <c r="AO54" s="57">
        <f t="shared" si="32"/>
        <v>3.898146813906369E-22</v>
      </c>
      <c r="AP54" s="57">
        <f t="shared" si="33"/>
        <v>-5.2074380992272875</v>
      </c>
      <c r="AQ54" s="58">
        <f>IF(AND($R$7=1,$R$6&lt;=Z54),AO54*AQ55+AP54,0)</f>
        <v>-5.2074380992272875</v>
      </c>
      <c r="AR54" s="49">
        <f t="shared" si="5"/>
        <v>0</v>
      </c>
      <c r="AT54" s="61">
        <f t="shared" si="6"/>
        <v>5.1457219569224855E-15</v>
      </c>
      <c r="AU54" s="62">
        <f t="shared" si="23"/>
        <v>5.1457073774327084E-15</v>
      </c>
      <c r="AW54" s="48">
        <f>IF(OR($I$6=1,$I$6=0),-15-0.012*AD54+$L$6,IF(I6=2,-5.31-0.007992*AD54+$L$6,0))</f>
        <v>0</v>
      </c>
      <c r="AX54" s="50">
        <f>IF(OR($I$6=1,$I$6=0),16.81-0.00692*AD54-0.27937*E54+$L$6,IF(I6=2,7.2936-0.006277*AD54+$L$6,0))</f>
        <v>0</v>
      </c>
      <c r="AY54" s="50">
        <f t="shared" si="7"/>
        <v>-2.141306314084214</v>
      </c>
      <c r="AZ54" s="50">
        <f t="shared" si="8"/>
        <v>0.8369467892773919</v>
      </c>
      <c r="BA54" s="49">
        <f t="shared" si="9"/>
        <v>-1.304359524806822</v>
      </c>
      <c r="BC54" s="65">
        <f t="shared" si="10"/>
        <v>182.90678134757098</v>
      </c>
      <c r="BD54" s="50">
        <f t="shared" si="11"/>
        <v>182.90678134757098</v>
      </c>
      <c r="BE54" s="49">
        <f t="shared" si="24"/>
        <v>182.90678134757098</v>
      </c>
      <c r="BG54" s="67">
        <f t="shared" si="25"/>
        <v>1</v>
      </c>
    </row>
    <row r="55" spans="2:59" ht="12.75">
      <c r="B55" s="48">
        <f t="shared" si="12"/>
        <v>0.9772727272727267</v>
      </c>
      <c r="C55" s="50">
        <v>-150</v>
      </c>
      <c r="D55" s="50">
        <v>-150</v>
      </c>
      <c r="E55" s="49">
        <f>E54-1</f>
        <v>61</v>
      </c>
      <c r="G55" s="48">
        <v>-277.126</v>
      </c>
      <c r="H55" s="50">
        <v>-277.126</v>
      </c>
      <c r="I55" s="49">
        <f t="shared" si="0"/>
        <v>14.659090909090942</v>
      </c>
      <c r="K55" s="74">
        <v>18.605899902</v>
      </c>
      <c r="L55">
        <v>634.333839355</v>
      </c>
      <c r="M55" s="49">
        <f t="shared" si="27"/>
        <v>85.21136363636357</v>
      </c>
      <c r="O55" s="74">
        <v>12.103600341</v>
      </c>
      <c r="P55" s="76">
        <v>507.957014404</v>
      </c>
      <c r="Q55" s="49">
        <v>73.1</v>
      </c>
      <c r="S55" s="74">
        <v>-31.9449635</v>
      </c>
      <c r="T55" s="76">
        <v>595.536298706</v>
      </c>
      <c r="U55" s="49">
        <v>80.7</v>
      </c>
      <c r="W55" s="48">
        <f>X55/1000</f>
        <v>1633.656</v>
      </c>
      <c r="X55" s="50">
        <f>X54+$I$4</f>
        <v>1633656</v>
      </c>
      <c r="Y55" s="50">
        <f t="shared" si="14"/>
        <v>634.333839355</v>
      </c>
      <c r="Z55" s="50">
        <f t="shared" si="15"/>
        <v>18.605899902</v>
      </c>
      <c r="AA55" s="55">
        <f t="shared" si="1"/>
        <v>0.01</v>
      </c>
      <c r="AB55" s="2"/>
      <c r="AC55" s="48">
        <f t="shared" si="16"/>
        <v>0.01</v>
      </c>
      <c r="AD55" s="50">
        <f t="shared" si="2"/>
        <v>189.71363338030332</v>
      </c>
      <c r="AE55" s="50">
        <f t="shared" si="17"/>
        <v>-0.0031247368737056884</v>
      </c>
      <c r="AF55" s="57">
        <f t="shared" si="3"/>
        <v>1.8773498736192862E-13</v>
      </c>
      <c r="AG55" s="57">
        <f t="shared" si="4"/>
        <v>-1.8773553072090742E-13</v>
      </c>
      <c r="AH55" s="57">
        <f t="shared" si="29"/>
        <v>3.898146813906369E-22</v>
      </c>
      <c r="AI55" s="57">
        <f t="shared" si="30"/>
        <v>7.149784664135457E-22</v>
      </c>
      <c r="AJ55" s="57">
        <f t="shared" si="31"/>
        <v>3.2516378502290876E-22</v>
      </c>
      <c r="AK55" s="57">
        <f t="shared" si="18"/>
        <v>-12.561354379667405</v>
      </c>
      <c r="AL55" s="57">
        <f t="shared" si="19"/>
        <v>9.745367034765922E-22</v>
      </c>
      <c r="AM55" s="58">
        <f t="shared" si="20"/>
        <v>2.5</v>
      </c>
      <c r="AN55" s="57">
        <f t="shared" si="21"/>
        <v>8.129094625572719E-22</v>
      </c>
      <c r="AO55" s="57">
        <f t="shared" si="32"/>
        <v>3.2516378502290876E-22</v>
      </c>
      <c r="AP55" s="57">
        <f t="shared" si="33"/>
        <v>-5.024541751866962</v>
      </c>
      <c r="AQ55" s="58">
        <f>IF(AND($R$7=1,$R$6&lt;=Z55),AO55*AQ56+AP55,0)</f>
        <v>-5.024541751866962</v>
      </c>
      <c r="AR55" s="49">
        <f t="shared" si="5"/>
        <v>0</v>
      </c>
      <c r="AT55" s="61">
        <f t="shared" si="6"/>
        <v>5.866241353483265E-14</v>
      </c>
      <c r="AU55" s="62">
        <f t="shared" si="23"/>
        <v>5.866224374944897E-14</v>
      </c>
      <c r="AW55" s="48">
        <f>IF(OR($I$6=1,$I$6=0),-15-0.012*AD55+$L$6,IF(I6=2,-5.31-0.007992*AD55+$L$6,0))</f>
        <v>0</v>
      </c>
      <c r="AX55" s="50">
        <f>IF(OR($I$6=1,$I$6=0),16.81-0.00692*AD55-0.27937*E55+$L$6,IF(I6=2,7.2936-0.006277*AD55+$L$6,0))</f>
        <v>0</v>
      </c>
      <c r="AY55" s="50">
        <f t="shared" si="7"/>
        <v>-2.0955176770879698</v>
      </c>
      <c r="AZ55" s="50">
        <f t="shared" si="8"/>
        <v>0.8368822391212293</v>
      </c>
      <c r="BA55" s="49">
        <f t="shared" si="9"/>
        <v>-1.2586354379667406</v>
      </c>
      <c r="BC55" s="65">
        <f t="shared" si="10"/>
        <v>189.70363338030333</v>
      </c>
      <c r="BD55" s="50">
        <f t="shared" si="11"/>
        <v>189.70363338030333</v>
      </c>
      <c r="BE55" s="49">
        <f t="shared" si="24"/>
        <v>189.70363338030333</v>
      </c>
      <c r="BG55" s="67">
        <f t="shared" si="25"/>
        <v>1</v>
      </c>
    </row>
    <row r="56" spans="2:59" ht="12.75">
      <c r="B56" s="51">
        <f t="shared" si="12"/>
        <v>0.9999999999999994</v>
      </c>
      <c r="C56" s="52">
        <v>-200</v>
      </c>
      <c r="D56" s="52">
        <v>-200</v>
      </c>
      <c r="E56" s="53">
        <f>E55-1</f>
        <v>60</v>
      </c>
      <c r="G56" s="51">
        <v>-897.685</v>
      </c>
      <c r="H56" s="52">
        <v>-897.685</v>
      </c>
      <c r="I56" s="53">
        <f t="shared" si="0"/>
        <v>13.333333333333371</v>
      </c>
      <c r="K56" s="75">
        <v>-77.19044876094</v>
      </c>
      <c r="L56" s="52">
        <v>4.38189315796</v>
      </c>
      <c r="M56" s="53">
        <f t="shared" si="27"/>
        <v>86.99999999999993</v>
      </c>
      <c r="O56" s="75">
        <v>32.7483570251</v>
      </c>
      <c r="P56" s="77">
        <v>53.9106300354</v>
      </c>
      <c r="Q56" s="53">
        <v>74.4</v>
      </c>
      <c r="S56" s="75">
        <v>-57.53175926</v>
      </c>
      <c r="T56" s="77">
        <v>-12.3202953339</v>
      </c>
      <c r="U56" s="53">
        <v>81</v>
      </c>
      <c r="W56" s="51">
        <f>X56/1000</f>
        <v>1671.648</v>
      </c>
      <c r="X56" s="52">
        <f>X55+$I$4</f>
        <v>1671648</v>
      </c>
      <c r="Y56" s="50">
        <f t="shared" si="14"/>
        <v>4.38189315796</v>
      </c>
      <c r="Z56" s="50">
        <f t="shared" si="15"/>
        <v>-77.19044876094</v>
      </c>
      <c r="AA56" s="56">
        <f t="shared" si="1"/>
        <v>0.01</v>
      </c>
      <c r="AB56" s="2"/>
      <c r="AC56" s="51">
        <f t="shared" si="16"/>
        <v>0.01</v>
      </c>
      <c r="AD56" s="52">
        <f t="shared" si="2"/>
        <v>-54.51322526408203</v>
      </c>
      <c r="AE56" s="52">
        <v>0</v>
      </c>
      <c r="AF56" s="57">
        <f t="shared" si="3"/>
        <v>0</v>
      </c>
      <c r="AG56" s="59">
        <f t="shared" si="4"/>
        <v>0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60">
        <v>0</v>
      </c>
      <c r="AR56" s="53">
        <f t="shared" si="5"/>
        <v>0</v>
      </c>
      <c r="AT56" s="63">
        <f t="shared" si="6"/>
        <v>0</v>
      </c>
      <c r="AU56" s="64">
        <f t="shared" si="23"/>
        <v>0</v>
      </c>
      <c r="AW56" s="51">
        <f>IF(OR($I$6=1,$I$6=0),-15-0.012*AD56+$L$6,IF(I6=2,-5.31-0.007992*AD56+$L$6,0))</f>
        <v>0</v>
      </c>
      <c r="AX56" s="52">
        <f>IF(OR($I$6=1,$I$6=0),16.81-0.00692*AD56-0.27937*E56+$L$6,IF(I6=2,7.2936-0.006277*AD56+$L$6,0))</f>
        <v>0</v>
      </c>
      <c r="AY56" s="50">
        <f t="shared" si="7"/>
        <v>-2.849</v>
      </c>
      <c r="AZ56" s="50">
        <f t="shared" si="8"/>
        <v>0.8378</v>
      </c>
      <c r="BA56" s="49">
        <f t="shared" si="9"/>
        <v>-2.0112</v>
      </c>
      <c r="BC56" s="66">
        <f t="shared" si="10"/>
        <v>-54.52322526408203</v>
      </c>
      <c r="BD56" s="52">
        <f t="shared" si="11"/>
        <v>-54.52322526408203</v>
      </c>
      <c r="BE56" s="53">
        <f>Z56</f>
        <v>-77.19044876094</v>
      </c>
      <c r="BG56" s="68">
        <f t="shared" si="25"/>
        <v>1</v>
      </c>
    </row>
    <row r="57" ht="12.75">
      <c r="K57" s="76"/>
    </row>
  </sheetData>
  <sheetProtection/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NIPR, 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Pattyn</dc:creator>
  <cp:keywords/>
  <dc:description/>
  <cp:lastModifiedBy>Nina K</cp:lastModifiedBy>
  <cp:lastPrinted>2000-10-20T11:53:51Z</cp:lastPrinted>
  <dcterms:created xsi:type="dcterms:W3CDTF">2000-10-13T11:36:51Z</dcterms:created>
  <dcterms:modified xsi:type="dcterms:W3CDTF">2016-12-27T22:16:05Z</dcterms:modified>
  <cp:category/>
  <cp:version/>
  <cp:contentType/>
  <cp:contentStatus/>
</cp:coreProperties>
</file>