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60" windowHeight="8325" activeTab="0"/>
  </bookViews>
  <sheets>
    <sheet name="Model" sheetId="1" r:id="rId1"/>
    <sheet name="Calculations" sheetId="2" r:id="rId2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<sst xmlns="http://schemas.openxmlformats.org/spreadsheetml/2006/main" count="94" uniqueCount="86">
  <si>
    <t>rho</t>
  </si>
  <si>
    <t>g</t>
  </si>
  <si>
    <t>A</t>
  </si>
  <si>
    <t>dx</t>
  </si>
  <si>
    <t>dt</t>
  </si>
  <si>
    <t>h_old</t>
  </si>
  <si>
    <t>bedrock</t>
  </si>
  <si>
    <t>slope</t>
  </si>
  <si>
    <t>diffus</t>
  </si>
  <si>
    <t>alfa</t>
  </si>
  <si>
    <t>dtdx2</t>
  </si>
  <si>
    <t>beta</t>
  </si>
  <si>
    <t>gamma</t>
  </si>
  <si>
    <t>delta</t>
  </si>
  <si>
    <t>w</t>
  </si>
  <si>
    <t>h_new</t>
  </si>
  <si>
    <t>run</t>
  </si>
  <si>
    <t>Massb</t>
  </si>
  <si>
    <t>h_ok</t>
  </si>
  <si>
    <t>u_mean</t>
  </si>
  <si>
    <t>x (km)</t>
  </si>
  <si>
    <t>alfa'</t>
  </si>
  <si>
    <t>beta'</t>
  </si>
  <si>
    <t>gamma'</t>
  </si>
  <si>
    <t>implicit</t>
  </si>
  <si>
    <t>surface</t>
  </si>
  <si>
    <t>Tma</t>
  </si>
  <si>
    <t>Tfor</t>
  </si>
  <si>
    <t>Tms</t>
  </si>
  <si>
    <t>ablation</t>
  </si>
  <si>
    <t>VOLUME</t>
  </si>
  <si>
    <t>RUN</t>
  </si>
  <si>
    <t>TFOR</t>
  </si>
  <si>
    <t>accum</t>
  </si>
  <si>
    <t>modeltype</t>
  </si>
  <si>
    <t>T_kopp</t>
  </si>
  <si>
    <t>mtune</t>
  </si>
  <si>
    <t>aconst</t>
  </si>
  <si>
    <t>Tstar</t>
  </si>
  <si>
    <t>Akopp</t>
  </si>
  <si>
    <t>TKOPP</t>
  </si>
  <si>
    <t>h0</t>
  </si>
  <si>
    <t>newbed</t>
  </si>
  <si>
    <t>bed_run</t>
  </si>
  <si>
    <t>bed_relax</t>
  </si>
  <si>
    <t>BEDADJ</t>
  </si>
  <si>
    <t>%</t>
  </si>
  <si>
    <t>sea_level</t>
  </si>
  <si>
    <t>SEALEV</t>
  </si>
  <si>
    <t>sea_run</t>
  </si>
  <si>
    <t>sl_est2</t>
  </si>
  <si>
    <t>sl_est1</t>
  </si>
  <si>
    <t>basalslid</t>
  </si>
  <si>
    <t>bslid</t>
  </si>
  <si>
    <t>bconst</t>
  </si>
  <si>
    <t>BASALSL</t>
  </si>
  <si>
    <t>u_slid</t>
  </si>
  <si>
    <t>Volume_ini</t>
  </si>
  <si>
    <t>x-scaled</t>
  </si>
  <si>
    <t>length</t>
  </si>
  <si>
    <t>Ice sheet model: Antarctica &amp; Greenland</t>
  </si>
  <si>
    <t>DATASET</t>
  </si>
  <si>
    <t>Tfor acc.</t>
  </si>
  <si>
    <t>Dtime</t>
  </si>
  <si>
    <t>time</t>
  </si>
  <si>
    <t>time0</t>
  </si>
  <si>
    <t>rho_bed</t>
  </si>
  <si>
    <t>INPUT ANTARCTICA</t>
  </si>
  <si>
    <t>INPUT GREENLAND</t>
  </si>
  <si>
    <t>Bedrock</t>
  </si>
  <si>
    <t>Surface</t>
  </si>
  <si>
    <t>Latitude</t>
  </si>
  <si>
    <t>Longitude</t>
  </si>
  <si>
    <t>x (m)</t>
  </si>
  <si>
    <t>INPUT MODEL GEOMETRY</t>
  </si>
  <si>
    <t>H init</t>
  </si>
  <si>
    <t>ICE THICKNESS CALCULATION</t>
  </si>
  <si>
    <t>VELOCITIES</t>
  </si>
  <si>
    <t>TEMPERATURE &amp; MASS BALANCE</t>
  </si>
  <si>
    <t>ISOSTACY</t>
  </si>
  <si>
    <t>Length</t>
  </si>
  <si>
    <t>Sea level</t>
  </si>
  <si>
    <t>Time (yr)</t>
  </si>
  <si>
    <t>PC: Push F9 to run model in time</t>
  </si>
  <si>
    <t>Mac: Command + = to run model in time</t>
  </si>
  <si>
    <t>Frank Pattyn, Laboratoire de Glaciologie (DSTE), Universite Libre de Bruxelles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</si>
</sst>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00000"/>
    <numFmt numFmtId="174" formatCode="0.0E+00"/>
    <numFmt numFmtId="175" formatCode="0.000E+00"/>
    <numFmt numFmtId="176" formatCode="0.000000"/>
    <numFmt numFmtId="177" formatCode="0.0000"/>
  </numFmts>
  <fonts count="14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49"/>
      <name val="Arial"/>
      <family val="0"/>
    </font>
    <font>
      <sz val="8.75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3" xfId="0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75" fontId="0" fillId="3" borderId="4" xfId="0" applyNumberFormat="1" applyFill="1" applyBorder="1" applyAlignment="1">
      <alignment/>
    </xf>
    <xf numFmtId="0" fontId="0" fillId="3" borderId="6" xfId="0" applyFill="1" applyBorder="1" applyAlignment="1">
      <alignment/>
    </xf>
    <xf numFmtId="2" fontId="0" fillId="3" borderId="5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4" borderId="2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5" xfId="0" applyFill="1" applyBorder="1" applyAlignment="1">
      <alignment/>
    </xf>
    <xf numFmtId="11" fontId="0" fillId="3" borderId="5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11" fontId="0" fillId="3" borderId="3" xfId="0" applyNumberForma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Alignment="1">
      <alignment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1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" borderId="1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875"/>
          <c:w val="0.97275"/>
          <c:h val="0.9225"/>
        </c:manualLayout>
      </c:layout>
      <c:scatterChart>
        <c:scatterStyle val="line"/>
        <c:varyColors val="0"/>
        <c:ser>
          <c:idx val="1"/>
          <c:order val="0"/>
          <c:tx>
            <c:v>Model ice sheet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Calculations!$R$12:$R$56</c:f>
              <c:numCache>
                <c:ptCount val="45"/>
                <c:pt idx="0">
                  <c:v>0</c:v>
                </c:pt>
                <c:pt idx="1">
                  <c:v>1400</c:v>
                </c:pt>
                <c:pt idx="2">
                  <c:v>2200</c:v>
                </c:pt>
                <c:pt idx="3">
                  <c:v>2850</c:v>
                </c:pt>
                <c:pt idx="4">
                  <c:v>3180</c:v>
                </c:pt>
                <c:pt idx="5">
                  <c:v>3400</c:v>
                </c:pt>
                <c:pt idx="6">
                  <c:v>3480</c:v>
                </c:pt>
                <c:pt idx="7">
                  <c:v>3550</c:v>
                </c:pt>
                <c:pt idx="8">
                  <c:v>3600</c:v>
                </c:pt>
                <c:pt idx="9">
                  <c:v>3640</c:v>
                </c:pt>
                <c:pt idx="10">
                  <c:v>3680</c:v>
                </c:pt>
                <c:pt idx="11">
                  <c:v>3700</c:v>
                </c:pt>
                <c:pt idx="12">
                  <c:v>3710</c:v>
                </c:pt>
                <c:pt idx="13">
                  <c:v>3720</c:v>
                </c:pt>
                <c:pt idx="14">
                  <c:v>3730</c:v>
                </c:pt>
                <c:pt idx="15">
                  <c:v>3735</c:v>
                </c:pt>
                <c:pt idx="16">
                  <c:v>3740</c:v>
                </c:pt>
                <c:pt idx="17">
                  <c:v>3800</c:v>
                </c:pt>
                <c:pt idx="18">
                  <c:v>3950</c:v>
                </c:pt>
                <c:pt idx="19">
                  <c:v>4020</c:v>
                </c:pt>
                <c:pt idx="20">
                  <c:v>4000</c:v>
                </c:pt>
                <c:pt idx="21">
                  <c:v>3850</c:v>
                </c:pt>
                <c:pt idx="22">
                  <c:v>3760</c:v>
                </c:pt>
                <c:pt idx="23">
                  <c:v>3710</c:v>
                </c:pt>
                <c:pt idx="24">
                  <c:v>3580</c:v>
                </c:pt>
                <c:pt idx="25">
                  <c:v>3450</c:v>
                </c:pt>
                <c:pt idx="26">
                  <c:v>3340</c:v>
                </c:pt>
                <c:pt idx="27">
                  <c:v>3260</c:v>
                </c:pt>
                <c:pt idx="28">
                  <c:v>3250</c:v>
                </c:pt>
                <c:pt idx="29">
                  <c:v>3240</c:v>
                </c:pt>
                <c:pt idx="30">
                  <c:v>3230</c:v>
                </c:pt>
                <c:pt idx="31">
                  <c:v>3210</c:v>
                </c:pt>
                <c:pt idx="32">
                  <c:v>3150</c:v>
                </c:pt>
                <c:pt idx="33">
                  <c:v>3000</c:v>
                </c:pt>
                <c:pt idx="34">
                  <c:v>2800</c:v>
                </c:pt>
                <c:pt idx="35">
                  <c:v>2510</c:v>
                </c:pt>
                <c:pt idx="36">
                  <c:v>2420</c:v>
                </c:pt>
                <c:pt idx="37">
                  <c:v>2050</c:v>
                </c:pt>
                <c:pt idx="38">
                  <c:v>1350</c:v>
                </c:pt>
                <c:pt idx="39">
                  <c:v>675</c:v>
                </c:pt>
                <c:pt idx="40">
                  <c:v>-0.1</c:v>
                </c:pt>
                <c:pt idx="41">
                  <c:v>-50</c:v>
                </c:pt>
                <c:pt idx="42">
                  <c:v>-100</c:v>
                </c:pt>
                <c:pt idx="43">
                  <c:v>-150</c:v>
                </c:pt>
                <c:pt idx="44">
                  <c:v>-200</c:v>
                </c:pt>
              </c:numCache>
            </c:numRef>
          </c:yVal>
          <c:smooth val="0"/>
        </c:ser>
        <c:ser>
          <c:idx val="2"/>
          <c:order val="1"/>
          <c:tx>
            <c:v>Observations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Calculations!$M$12:$M$56</c:f>
              <c:numCache>
                <c:ptCount val="45"/>
                <c:pt idx="0">
                  <c:v>0</c:v>
                </c:pt>
                <c:pt idx="1">
                  <c:v>1400</c:v>
                </c:pt>
                <c:pt idx="2">
                  <c:v>2200</c:v>
                </c:pt>
                <c:pt idx="3">
                  <c:v>2850</c:v>
                </c:pt>
                <c:pt idx="4">
                  <c:v>3180</c:v>
                </c:pt>
                <c:pt idx="5">
                  <c:v>3400</c:v>
                </c:pt>
                <c:pt idx="6">
                  <c:v>3480</c:v>
                </c:pt>
                <c:pt idx="7">
                  <c:v>3550</c:v>
                </c:pt>
                <c:pt idx="8">
                  <c:v>3600</c:v>
                </c:pt>
                <c:pt idx="9">
                  <c:v>3640</c:v>
                </c:pt>
                <c:pt idx="10">
                  <c:v>3680</c:v>
                </c:pt>
                <c:pt idx="11">
                  <c:v>3700</c:v>
                </c:pt>
                <c:pt idx="12">
                  <c:v>3710</c:v>
                </c:pt>
                <c:pt idx="13">
                  <c:v>3720</c:v>
                </c:pt>
                <c:pt idx="14">
                  <c:v>3730</c:v>
                </c:pt>
                <c:pt idx="15">
                  <c:v>3735</c:v>
                </c:pt>
                <c:pt idx="16">
                  <c:v>3740</c:v>
                </c:pt>
                <c:pt idx="17">
                  <c:v>3800</c:v>
                </c:pt>
                <c:pt idx="18">
                  <c:v>3950</c:v>
                </c:pt>
                <c:pt idx="19">
                  <c:v>4020</c:v>
                </c:pt>
                <c:pt idx="20">
                  <c:v>4000</c:v>
                </c:pt>
                <c:pt idx="21">
                  <c:v>3850</c:v>
                </c:pt>
                <c:pt idx="22">
                  <c:v>3760</c:v>
                </c:pt>
                <c:pt idx="23">
                  <c:v>3710</c:v>
                </c:pt>
                <c:pt idx="24">
                  <c:v>3580</c:v>
                </c:pt>
                <c:pt idx="25">
                  <c:v>3450</c:v>
                </c:pt>
                <c:pt idx="26">
                  <c:v>3340</c:v>
                </c:pt>
                <c:pt idx="27">
                  <c:v>3260</c:v>
                </c:pt>
                <c:pt idx="28">
                  <c:v>3250</c:v>
                </c:pt>
                <c:pt idx="29">
                  <c:v>3240</c:v>
                </c:pt>
                <c:pt idx="30">
                  <c:v>3230</c:v>
                </c:pt>
                <c:pt idx="31">
                  <c:v>3210</c:v>
                </c:pt>
                <c:pt idx="32">
                  <c:v>3150</c:v>
                </c:pt>
                <c:pt idx="33">
                  <c:v>3000</c:v>
                </c:pt>
                <c:pt idx="34">
                  <c:v>2800</c:v>
                </c:pt>
                <c:pt idx="35">
                  <c:v>2510</c:v>
                </c:pt>
                <c:pt idx="36">
                  <c:v>2420</c:v>
                </c:pt>
                <c:pt idx="37">
                  <c:v>2050</c:v>
                </c:pt>
                <c:pt idx="38">
                  <c:v>1350</c:v>
                </c:pt>
                <c:pt idx="39">
                  <c:v>675</c:v>
                </c:pt>
                <c:pt idx="40">
                  <c:v>-0.1</c:v>
                </c:pt>
                <c:pt idx="41">
                  <c:v>-50</c:v>
                </c:pt>
                <c:pt idx="42">
                  <c:v>-100</c:v>
                </c:pt>
                <c:pt idx="43">
                  <c:v>-150</c:v>
                </c:pt>
                <c:pt idx="44">
                  <c:v>-200</c:v>
                </c:pt>
              </c:numCache>
            </c:numRef>
          </c:yVal>
          <c:smooth val="0"/>
        </c:ser>
        <c:ser>
          <c:idx val="0"/>
          <c:order val="2"/>
          <c:tx>
            <c:v>Bed (obs)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Calculations!$N$12:$N$56</c:f>
              <c:numCache>
                <c:ptCount val="45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600</c:v>
                </c:pt>
                <c:pt idx="4">
                  <c:v>800</c:v>
                </c:pt>
                <c:pt idx="5">
                  <c:v>500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500</c:v>
                </c:pt>
                <c:pt idx="12">
                  <c:v>400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900</c:v>
                </c:pt>
                <c:pt idx="18">
                  <c:v>1250</c:v>
                </c:pt>
                <c:pt idx="19">
                  <c:v>1850</c:v>
                </c:pt>
                <c:pt idx="20">
                  <c:v>2000</c:v>
                </c:pt>
                <c:pt idx="21">
                  <c:v>1500</c:v>
                </c:pt>
                <c:pt idx="22">
                  <c:v>1250</c:v>
                </c:pt>
                <c:pt idx="23">
                  <c:v>1100</c:v>
                </c:pt>
                <c:pt idx="24">
                  <c:v>1000</c:v>
                </c:pt>
                <c:pt idx="25">
                  <c:v>750</c:v>
                </c:pt>
                <c:pt idx="26">
                  <c:v>300</c:v>
                </c:pt>
                <c:pt idx="27">
                  <c:v>250</c:v>
                </c:pt>
                <c:pt idx="28">
                  <c:v>0</c:v>
                </c:pt>
                <c:pt idx="29">
                  <c:v>-100</c:v>
                </c:pt>
                <c:pt idx="30">
                  <c:v>-50</c:v>
                </c:pt>
                <c:pt idx="31">
                  <c:v>0</c:v>
                </c:pt>
                <c:pt idx="32">
                  <c:v>500</c:v>
                </c:pt>
                <c:pt idx="33">
                  <c:v>250</c:v>
                </c:pt>
                <c:pt idx="34">
                  <c:v>200</c:v>
                </c:pt>
                <c:pt idx="35">
                  <c:v>0</c:v>
                </c:pt>
                <c:pt idx="36">
                  <c:v>-200</c:v>
                </c:pt>
                <c:pt idx="37">
                  <c:v>-250</c:v>
                </c:pt>
                <c:pt idx="38">
                  <c:v>-200</c:v>
                </c:pt>
                <c:pt idx="39">
                  <c:v>0</c:v>
                </c:pt>
                <c:pt idx="40">
                  <c:v>-0.1</c:v>
                </c:pt>
                <c:pt idx="41">
                  <c:v>-50</c:v>
                </c:pt>
                <c:pt idx="42">
                  <c:v>-100</c:v>
                </c:pt>
                <c:pt idx="43">
                  <c:v>-150</c:v>
                </c:pt>
                <c:pt idx="44">
                  <c:v>-200</c:v>
                </c:pt>
              </c:numCache>
            </c:numRef>
          </c:yVal>
          <c:smooth val="0"/>
        </c:ser>
        <c:ser>
          <c:idx val="3"/>
          <c:order val="3"/>
          <c:tx>
            <c:v>Bedrock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Calculations!$AQ$12:$AQ$56</c:f>
              <c:numCache>
                <c:ptCount val="45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600</c:v>
                </c:pt>
                <c:pt idx="4">
                  <c:v>800</c:v>
                </c:pt>
                <c:pt idx="5">
                  <c:v>500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500</c:v>
                </c:pt>
                <c:pt idx="12">
                  <c:v>400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900</c:v>
                </c:pt>
                <c:pt idx="18">
                  <c:v>1250</c:v>
                </c:pt>
                <c:pt idx="19">
                  <c:v>1850</c:v>
                </c:pt>
                <c:pt idx="20">
                  <c:v>2000</c:v>
                </c:pt>
                <c:pt idx="21">
                  <c:v>1500</c:v>
                </c:pt>
                <c:pt idx="22">
                  <c:v>1250</c:v>
                </c:pt>
                <c:pt idx="23">
                  <c:v>1100</c:v>
                </c:pt>
                <c:pt idx="24">
                  <c:v>1000</c:v>
                </c:pt>
                <c:pt idx="25">
                  <c:v>750</c:v>
                </c:pt>
                <c:pt idx="26">
                  <c:v>300</c:v>
                </c:pt>
                <c:pt idx="27">
                  <c:v>250</c:v>
                </c:pt>
                <c:pt idx="28">
                  <c:v>0</c:v>
                </c:pt>
                <c:pt idx="29">
                  <c:v>-100</c:v>
                </c:pt>
                <c:pt idx="30">
                  <c:v>-50</c:v>
                </c:pt>
                <c:pt idx="31">
                  <c:v>0</c:v>
                </c:pt>
                <c:pt idx="32">
                  <c:v>500</c:v>
                </c:pt>
                <c:pt idx="33">
                  <c:v>250</c:v>
                </c:pt>
                <c:pt idx="34">
                  <c:v>200</c:v>
                </c:pt>
                <c:pt idx="35">
                  <c:v>0</c:v>
                </c:pt>
                <c:pt idx="36">
                  <c:v>-200</c:v>
                </c:pt>
                <c:pt idx="37">
                  <c:v>-250</c:v>
                </c:pt>
                <c:pt idx="38">
                  <c:v>-200</c:v>
                </c:pt>
                <c:pt idx="39">
                  <c:v>0</c:v>
                </c:pt>
                <c:pt idx="40">
                  <c:v>-0.1</c:v>
                </c:pt>
                <c:pt idx="41">
                  <c:v>-50</c:v>
                </c:pt>
                <c:pt idx="42">
                  <c:v>-100</c:v>
                </c:pt>
                <c:pt idx="43">
                  <c:v>-150</c:v>
                </c:pt>
                <c:pt idx="44">
                  <c:v>-200</c:v>
                </c:pt>
              </c:numCache>
            </c:numRef>
          </c:yVal>
          <c:smooth val="0"/>
        </c:ser>
        <c:axId val="38382014"/>
        <c:axId val="9893807"/>
      </c:scatterChart>
      <c:valAx>
        <c:axId val="3838201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893807"/>
        <c:crosses val="autoZero"/>
        <c:crossBetween val="midCat"/>
        <c:dispUnits/>
      </c:valAx>
      <c:valAx>
        <c:axId val="9893807"/>
        <c:scaling>
          <c:orientation val="minMax"/>
          <c:max val="4500"/>
          <c:min val="-1000"/>
        </c:scaling>
        <c:axPos val="l"/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"/>
          <c:w val="0.3017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4475"/>
          <c:w val="0.95675"/>
          <c:h val="0.9105"/>
        </c:manualLayout>
      </c:layout>
      <c:scatterChart>
        <c:scatterStyle val="line"/>
        <c:varyColors val="0"/>
        <c:ser>
          <c:idx val="0"/>
          <c:order val="0"/>
          <c:tx>
            <c:v>Balance (m/yr)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Calculations!$AO$12:$AO$56</c:f>
              <c:numCache>
                <c:ptCount val="45"/>
                <c:pt idx="0">
                  <c:v>0.8838834764831844</c:v>
                </c:pt>
                <c:pt idx="1">
                  <c:v>0.2758446863408296</c:v>
                </c:pt>
                <c:pt idx="2">
                  <c:v>0.14179986801830638</c:v>
                </c:pt>
                <c:pt idx="3">
                  <c:v>0.08257953441885788</c:v>
                </c:pt>
                <c:pt idx="4">
                  <c:v>0.06275734349664325</c:v>
                </c:pt>
                <c:pt idx="5">
                  <c:v>0.0522627951088325</c:v>
                </c:pt>
                <c:pt idx="6">
                  <c:v>0.04889829916617165</c:v>
                </c:pt>
                <c:pt idx="7">
                  <c:v>0.046132525837091036</c:v>
                </c:pt>
                <c:pt idx="8">
                  <c:v>0.044253276769367134</c:v>
                </c:pt>
                <c:pt idx="9">
                  <c:v>0.042805147126862925</c:v>
                </c:pt>
                <c:pt idx="10">
                  <c:v>0.04140440560145633</c:v>
                </c:pt>
                <c:pt idx="11">
                  <c:v>0.040721318782856314</c:v>
                </c:pt>
                <c:pt idx="12">
                  <c:v>0.04038401313468612</c:v>
                </c:pt>
                <c:pt idx="13">
                  <c:v>0.0400495014800232</c:v>
                </c:pt>
                <c:pt idx="14">
                  <c:v>0.03971776067546705</c:v>
                </c:pt>
                <c:pt idx="15">
                  <c:v>0.03955292216212865</c:v>
                </c:pt>
                <c:pt idx="16">
                  <c:v>0.03938876776932009</c:v>
                </c:pt>
                <c:pt idx="17">
                  <c:v>0.03747125466114312</c:v>
                </c:pt>
                <c:pt idx="18">
                  <c:v>0.03307598876416122</c:v>
                </c:pt>
                <c:pt idx="19">
                  <c:v>0.031205152986294858</c:v>
                </c:pt>
                <c:pt idx="20">
                  <c:v>0.03172860923266546</c:v>
                </c:pt>
                <c:pt idx="21">
                  <c:v>0.03594483010253418</c:v>
                </c:pt>
                <c:pt idx="22">
                  <c:v>0.038738934794464594</c:v>
                </c:pt>
                <c:pt idx="23">
                  <c:v>0.04038401313468612</c:v>
                </c:pt>
                <c:pt idx="24">
                  <c:v>0.04499561102927177</c:v>
                </c:pt>
                <c:pt idx="25">
                  <c:v>0.050133824123550955</c:v>
                </c:pt>
                <c:pt idx="26">
                  <c:v>0.05493723437160623</c:v>
                </c:pt>
                <c:pt idx="27">
                  <c:v>0.05871724523693604</c:v>
                </c:pt>
                <c:pt idx="28">
                  <c:v>0.05920767837931242</c:v>
                </c:pt>
                <c:pt idx="29">
                  <c:v>0.059702207842389346</c:v>
                </c:pt>
                <c:pt idx="30">
                  <c:v>0.06020086784050063</c:v>
                </c:pt>
                <c:pt idx="31">
                  <c:v>0.06121071773041723</c:v>
                </c:pt>
                <c:pt idx="32">
                  <c:v>0.06434304822402916</c:v>
                </c:pt>
                <c:pt idx="33">
                  <c:v>0.07289320246381312</c:v>
                </c:pt>
                <c:pt idx="34">
                  <c:v>0.08608633717786018</c:v>
                </c:pt>
                <c:pt idx="35">
                  <c:v>0.10957025395643755</c:v>
                </c:pt>
                <c:pt idx="36">
                  <c:v>0.11808749439970523</c:v>
                </c:pt>
                <c:pt idx="37">
                  <c:v>0.16064278541501043</c:v>
                </c:pt>
                <c:pt idx="38">
                  <c:v>0.2875586408202735</c:v>
                </c:pt>
                <c:pt idx="39">
                  <c:v>0.504151099513829</c:v>
                </c:pt>
                <c:pt idx="40">
                  <c:v>0.8839569989016137</c:v>
                </c:pt>
                <c:pt idx="41">
                  <c:v>0.9214182608069382</c:v>
                </c:pt>
                <c:pt idx="42">
                  <c:v>0.7070629883050097</c:v>
                </c:pt>
                <c:pt idx="43">
                  <c:v>-0.12766465301297059</c:v>
                </c:pt>
                <c:pt idx="44">
                  <c:v>-0.9606601007145368</c:v>
                </c:pt>
              </c:numCache>
            </c:numRef>
          </c:yVal>
          <c:smooth val="0"/>
        </c:ser>
        <c:ser>
          <c:idx val="1"/>
          <c:order val="1"/>
          <c:tx>
            <c:v>Ablation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Calculations!$AM$12:$AM$56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-0.2534839999999981</c:v>
                </c:pt>
                <c:pt idx="43">
                  <c:v>-1.1290019999999983</c:v>
                </c:pt>
                <c:pt idx="44">
                  <c:v>-2.0045199999999985</c:v>
                </c:pt>
              </c:numCache>
            </c:numRef>
          </c:yVal>
          <c:smooth val="0"/>
        </c:ser>
        <c:ser>
          <c:idx val="2"/>
          <c:order val="2"/>
          <c:tx>
            <c:v>Accumulation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Calculations!$AN$12:$AN$56</c:f>
              <c:numCache>
                <c:ptCount val="45"/>
                <c:pt idx="0">
                  <c:v>0.8838834764831844</c:v>
                </c:pt>
                <c:pt idx="1">
                  <c:v>0.2758446863408296</c:v>
                </c:pt>
                <c:pt idx="2">
                  <c:v>0.14179986801830638</c:v>
                </c:pt>
                <c:pt idx="3">
                  <c:v>0.08257953441885788</c:v>
                </c:pt>
                <c:pt idx="4">
                  <c:v>0.06275734349664325</c:v>
                </c:pt>
                <c:pt idx="5">
                  <c:v>0.0522627951088325</c:v>
                </c:pt>
                <c:pt idx="6">
                  <c:v>0.04889829916617165</c:v>
                </c:pt>
                <c:pt idx="7">
                  <c:v>0.046132525837091036</c:v>
                </c:pt>
                <c:pt idx="8">
                  <c:v>0.044253276769367134</c:v>
                </c:pt>
                <c:pt idx="9">
                  <c:v>0.042805147126862925</c:v>
                </c:pt>
                <c:pt idx="10">
                  <c:v>0.04140440560145633</c:v>
                </c:pt>
                <c:pt idx="11">
                  <c:v>0.040721318782856314</c:v>
                </c:pt>
                <c:pt idx="12">
                  <c:v>0.04038401313468612</c:v>
                </c:pt>
                <c:pt idx="13">
                  <c:v>0.0400495014800232</c:v>
                </c:pt>
                <c:pt idx="14">
                  <c:v>0.03971776067546705</c:v>
                </c:pt>
                <c:pt idx="15">
                  <c:v>0.03955292216212865</c:v>
                </c:pt>
                <c:pt idx="16">
                  <c:v>0.03938876776932009</c:v>
                </c:pt>
                <c:pt idx="17">
                  <c:v>0.03747125466114312</c:v>
                </c:pt>
                <c:pt idx="18">
                  <c:v>0.03307598876416122</c:v>
                </c:pt>
                <c:pt idx="19">
                  <c:v>0.031205152986294858</c:v>
                </c:pt>
                <c:pt idx="20">
                  <c:v>0.03172860923266546</c:v>
                </c:pt>
                <c:pt idx="21">
                  <c:v>0.03594483010253418</c:v>
                </c:pt>
                <c:pt idx="22">
                  <c:v>0.038738934794464594</c:v>
                </c:pt>
                <c:pt idx="23">
                  <c:v>0.04038401313468612</c:v>
                </c:pt>
                <c:pt idx="24">
                  <c:v>0.04499561102927177</c:v>
                </c:pt>
                <c:pt idx="25">
                  <c:v>0.050133824123550955</c:v>
                </c:pt>
                <c:pt idx="26">
                  <c:v>0.05493723437160623</c:v>
                </c:pt>
                <c:pt idx="27">
                  <c:v>0.05871724523693604</c:v>
                </c:pt>
                <c:pt idx="28">
                  <c:v>0.05920767837931242</c:v>
                </c:pt>
                <c:pt idx="29">
                  <c:v>0.059702207842389346</c:v>
                </c:pt>
                <c:pt idx="30">
                  <c:v>0.06020086784050063</c:v>
                </c:pt>
                <c:pt idx="31">
                  <c:v>0.06121071773041723</c:v>
                </c:pt>
                <c:pt idx="32">
                  <c:v>0.06434304822402916</c:v>
                </c:pt>
                <c:pt idx="33">
                  <c:v>0.07289320246381312</c:v>
                </c:pt>
                <c:pt idx="34">
                  <c:v>0.08608633717786018</c:v>
                </c:pt>
                <c:pt idx="35">
                  <c:v>0.10957025395643755</c:v>
                </c:pt>
                <c:pt idx="36">
                  <c:v>0.11808749439970523</c:v>
                </c:pt>
                <c:pt idx="37">
                  <c:v>0.16064278541501043</c:v>
                </c:pt>
                <c:pt idx="38">
                  <c:v>0.2875586408202735</c:v>
                </c:pt>
                <c:pt idx="39">
                  <c:v>0.504151099513829</c:v>
                </c:pt>
                <c:pt idx="40">
                  <c:v>0.8839569989016137</c:v>
                </c:pt>
                <c:pt idx="41">
                  <c:v>0.9214182608069382</c:v>
                </c:pt>
                <c:pt idx="42">
                  <c:v>0.9605469883050077</c:v>
                </c:pt>
                <c:pt idx="43">
                  <c:v>1.0013373469870277</c:v>
                </c:pt>
                <c:pt idx="44">
                  <c:v>1.0438598992854617</c:v>
                </c:pt>
              </c:numCache>
            </c:numRef>
          </c:yVal>
          <c:smooth val="0"/>
        </c:ser>
        <c:axId val="21935400"/>
        <c:axId val="63200873"/>
      </c:scatterChart>
      <c:valAx>
        <c:axId val="21935400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crossBetween val="midCat"/>
        <c:dispUnits/>
      </c:valAx>
      <c:valAx>
        <c:axId val="63200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075"/>
          <c:y val="0.64575"/>
          <c:w val="0.29225"/>
          <c:h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875"/>
          <c:w val="0.97"/>
          <c:h val="0.9225"/>
        </c:manualLayout>
      </c:layout>
      <c:scatterChart>
        <c:scatterStyle val="line"/>
        <c:varyColors val="0"/>
        <c:ser>
          <c:idx val="0"/>
          <c:order val="0"/>
          <c:tx>
            <c:v>Velocity (m/yr)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Calculations!$AH$12:$AH$56</c:f>
              <c:numCache>
                <c:ptCount val="45"/>
                <c:pt idx="0">
                  <c:v>0</c:v>
                </c:pt>
                <c:pt idx="1">
                  <c:v>3066.6266691930678</c:v>
                </c:pt>
                <c:pt idx="2">
                  <c:v>4287.417135874023</c:v>
                </c:pt>
                <c:pt idx="3">
                  <c:v>1155.615168912966</c:v>
                </c:pt>
                <c:pt idx="4">
                  <c:v>249.3357625572524</c:v>
                </c:pt>
                <c:pt idx="5">
                  <c:v>86.4497095465845</c:v>
                </c:pt>
                <c:pt idx="6">
                  <c:v>13.632829121303633</c:v>
                </c:pt>
                <c:pt idx="7">
                  <c:v>7.604027421912803</c:v>
                </c:pt>
                <c:pt idx="8">
                  <c:v>3.4066492671598407</c:v>
                </c:pt>
                <c:pt idx="9">
                  <c:v>2.508883490075773</c:v>
                </c:pt>
                <c:pt idx="10">
                  <c:v>1.1092802001860924</c:v>
                </c:pt>
                <c:pt idx="11">
                  <c:v>0.12580843219677953</c:v>
                </c:pt>
                <c:pt idx="12">
                  <c:v>0.042541223440203814</c:v>
                </c:pt>
                <c:pt idx="13">
                  <c:v>0.04303540874436052</c:v>
                </c:pt>
                <c:pt idx="14">
                  <c:v>0.016297814311169886</c:v>
                </c:pt>
                <c:pt idx="15">
                  <c:v>0.004295635263403287</c:v>
                </c:pt>
                <c:pt idx="16">
                  <c:v>1.045699389894627</c:v>
                </c:pt>
                <c:pt idx="17">
                  <c:v>29.27548718197353</c:v>
                </c:pt>
                <c:pt idx="18">
                  <c:v>25.35118339006244</c:v>
                </c:pt>
                <c:pt idx="19">
                  <c:v>0.12672164516667553</c:v>
                </c:pt>
                <c:pt idx="20">
                  <c:v>3.6306324297066315</c:v>
                </c:pt>
                <c:pt idx="21">
                  <c:v>19.211163800546863</c:v>
                </c:pt>
                <c:pt idx="22">
                  <c:v>4.942586548173499</c:v>
                </c:pt>
                <c:pt idx="23">
                  <c:v>12.252107607548222</c:v>
                </c:pt>
                <c:pt idx="24">
                  <c:v>35.452933179100356</c:v>
                </c:pt>
                <c:pt idx="25">
                  <c:v>33.44121358417072</c:v>
                </c:pt>
                <c:pt idx="26">
                  <c:v>26.45396786115517</c:v>
                </c:pt>
                <c:pt idx="27">
                  <c:v>2.712945839513143</c:v>
                </c:pt>
                <c:pt idx="28">
                  <c:v>0.0401813577032346</c:v>
                </c:pt>
                <c:pt idx="29">
                  <c:v>0.044724335886439294</c:v>
                </c:pt>
                <c:pt idx="30">
                  <c:v>0.14067209296382152</c:v>
                </c:pt>
                <c:pt idx="31">
                  <c:v>2.4538172748758833</c:v>
                </c:pt>
                <c:pt idx="32">
                  <c:v>21.08635410530155</c:v>
                </c:pt>
                <c:pt idx="33">
                  <c:v>113.51664633578494</c:v>
                </c:pt>
                <c:pt idx="34">
                  <c:v>253.26745627716286</c:v>
                </c:pt>
                <c:pt idx="35">
                  <c:v>105.06954905563623</c:v>
                </c:pt>
                <c:pt idx="36">
                  <c:v>221.39850965438558</c:v>
                </c:pt>
                <c:pt idx="37">
                  <c:v>1751.3729581778591</c:v>
                </c:pt>
                <c:pt idx="38">
                  <c:v>971.4522650639454</c:v>
                </c:pt>
                <c:pt idx="39">
                  <c:v>76.9857621122511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Basal velocity (m/yr)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Calculations!$AI$12:$AI$56</c:f>
              <c:numCache>
                <c:ptCount val="45"/>
                <c:pt idx="0">
                  <c:v>0</c:v>
                </c:pt>
                <c:pt idx="1">
                  <c:v>1171.8140450250162</c:v>
                </c:pt>
                <c:pt idx="2">
                  <c:v>853.0907313051769</c:v>
                </c:pt>
                <c:pt idx="3">
                  <c:v>184.58098779141338</c:v>
                </c:pt>
                <c:pt idx="4">
                  <c:v>34.4428387633325</c:v>
                </c:pt>
                <c:pt idx="5">
                  <c:v>9.575267995063273</c:v>
                </c:pt>
                <c:pt idx="6">
                  <c:v>1.4063091578368703</c:v>
                </c:pt>
                <c:pt idx="7">
                  <c:v>0.7552638913901776</c:v>
                </c:pt>
                <c:pt idx="8">
                  <c:v>0.3294638918184202</c:v>
                </c:pt>
                <c:pt idx="9">
                  <c:v>0.23757449971907998</c:v>
                </c:pt>
                <c:pt idx="10">
                  <c:v>0.10286927155065939</c:v>
                </c:pt>
                <c:pt idx="11">
                  <c:v>0.011838603480430632</c:v>
                </c:pt>
                <c:pt idx="12">
                  <c:v>0.003884220509675503</c:v>
                </c:pt>
                <c:pt idx="13">
                  <c:v>0.003909130420174314</c:v>
                </c:pt>
                <c:pt idx="14">
                  <c:v>0.0015097924257393533</c:v>
                </c:pt>
                <c:pt idx="15">
                  <c:v>0.0004071863387390385</c:v>
                </c:pt>
                <c:pt idx="16">
                  <c:v>0.10150672439199893</c:v>
                </c:pt>
                <c:pt idx="17">
                  <c:v>2.907553729801739</c:v>
                </c:pt>
                <c:pt idx="18">
                  <c:v>2.571414312697298</c:v>
                </c:pt>
                <c:pt idx="19">
                  <c:v>0.015144520228210055</c:v>
                </c:pt>
                <c:pt idx="20">
                  <c:v>0.46622085109209555</c:v>
                </c:pt>
                <c:pt idx="21">
                  <c:v>2.239227528561329</c:v>
                </c:pt>
                <c:pt idx="22">
                  <c:v>0.5582366009226004</c:v>
                </c:pt>
                <c:pt idx="23">
                  <c:v>1.3576462495263577</c:v>
                </c:pt>
                <c:pt idx="24">
                  <c:v>4.103832550885093</c:v>
                </c:pt>
                <c:pt idx="25">
                  <c:v>3.8668777722345995</c:v>
                </c:pt>
                <c:pt idx="26">
                  <c:v>2.871928743512842</c:v>
                </c:pt>
                <c:pt idx="27">
                  <c:v>0.30404053015982097</c:v>
                </c:pt>
                <c:pt idx="28">
                  <c:v>0.004251983825571971</c:v>
                </c:pt>
                <c:pt idx="29">
                  <c:v>0.004646702115200725</c:v>
                </c:pt>
                <c:pt idx="30">
                  <c:v>0.014870726884392392</c:v>
                </c:pt>
                <c:pt idx="31">
                  <c:v>0.26546966635381064</c:v>
                </c:pt>
                <c:pt idx="32">
                  <c:v>2.7011863012722905</c:v>
                </c:pt>
                <c:pt idx="33">
                  <c:v>14.806652107750823</c:v>
                </c:pt>
                <c:pt idx="34">
                  <c:v>36.842245021706596</c:v>
                </c:pt>
                <c:pt idx="35">
                  <c:v>17.395332471980534</c:v>
                </c:pt>
                <c:pt idx="36">
                  <c:v>36.767400592433404</c:v>
                </c:pt>
                <c:pt idx="37">
                  <c:v>371.3417894928837</c:v>
                </c:pt>
                <c:pt idx="38">
                  <c:v>367.4186540152553</c:v>
                </c:pt>
                <c:pt idx="39">
                  <c:v>56.420269287502336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31936946"/>
        <c:axId val="18997059"/>
      </c:scatterChart>
      <c:valAx>
        <c:axId val="3193694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8997059"/>
        <c:crosses val="autoZero"/>
        <c:crossBetween val="midCat"/>
        <c:dispUnits/>
      </c:valAx>
      <c:valAx>
        <c:axId val="18997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369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05"/>
          <c:y val="0.00775"/>
          <c:w val="0.37325"/>
          <c:h val="0.1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45"/>
          <c:w val="0.97"/>
          <c:h val="0.91075"/>
        </c:manualLayout>
      </c:layout>
      <c:scatterChart>
        <c:scatterStyle val="line"/>
        <c:varyColors val="0"/>
        <c:ser>
          <c:idx val="0"/>
          <c:order val="0"/>
          <c:tx>
            <c:v>Temp [year] (C)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Calculations!$AK$12:$AK$56</c:f>
              <c:numCache>
                <c:ptCount val="45"/>
                <c:pt idx="0">
                  <c:v>-15</c:v>
                </c:pt>
                <c:pt idx="1">
                  <c:v>-31.8</c:v>
                </c:pt>
                <c:pt idx="2">
                  <c:v>-41.400000000000006</c:v>
                </c:pt>
                <c:pt idx="3">
                  <c:v>-49.2</c:v>
                </c:pt>
                <c:pt idx="4">
                  <c:v>-53.160000000000004</c:v>
                </c:pt>
                <c:pt idx="5">
                  <c:v>-55.800000000000004</c:v>
                </c:pt>
                <c:pt idx="6">
                  <c:v>-56.76</c:v>
                </c:pt>
                <c:pt idx="7">
                  <c:v>-57.6</c:v>
                </c:pt>
                <c:pt idx="8">
                  <c:v>-58.2</c:v>
                </c:pt>
                <c:pt idx="9">
                  <c:v>-58.68</c:v>
                </c:pt>
                <c:pt idx="10">
                  <c:v>-59.160000000000004</c:v>
                </c:pt>
                <c:pt idx="11">
                  <c:v>-59.4</c:v>
                </c:pt>
                <c:pt idx="12">
                  <c:v>-59.52</c:v>
                </c:pt>
                <c:pt idx="13">
                  <c:v>-59.64</c:v>
                </c:pt>
                <c:pt idx="14">
                  <c:v>-59.76</c:v>
                </c:pt>
                <c:pt idx="15">
                  <c:v>-59.82</c:v>
                </c:pt>
                <c:pt idx="16">
                  <c:v>-59.88</c:v>
                </c:pt>
                <c:pt idx="17">
                  <c:v>-60.6</c:v>
                </c:pt>
                <c:pt idx="18">
                  <c:v>-62.4</c:v>
                </c:pt>
                <c:pt idx="19">
                  <c:v>-63.24</c:v>
                </c:pt>
                <c:pt idx="20">
                  <c:v>-63</c:v>
                </c:pt>
                <c:pt idx="21">
                  <c:v>-61.2</c:v>
                </c:pt>
                <c:pt idx="22">
                  <c:v>-60.12</c:v>
                </c:pt>
                <c:pt idx="23">
                  <c:v>-59.52</c:v>
                </c:pt>
                <c:pt idx="24">
                  <c:v>-57.96</c:v>
                </c:pt>
                <c:pt idx="25">
                  <c:v>-56.4</c:v>
                </c:pt>
                <c:pt idx="26">
                  <c:v>-55.08</c:v>
                </c:pt>
                <c:pt idx="27">
                  <c:v>-54.12</c:v>
                </c:pt>
                <c:pt idx="28">
                  <c:v>-54</c:v>
                </c:pt>
                <c:pt idx="29">
                  <c:v>-53.88</c:v>
                </c:pt>
                <c:pt idx="30">
                  <c:v>-53.76</c:v>
                </c:pt>
                <c:pt idx="31">
                  <c:v>-53.52</c:v>
                </c:pt>
                <c:pt idx="32">
                  <c:v>-52.800000000000004</c:v>
                </c:pt>
                <c:pt idx="33">
                  <c:v>-51</c:v>
                </c:pt>
                <c:pt idx="34">
                  <c:v>-48.6</c:v>
                </c:pt>
                <c:pt idx="35">
                  <c:v>-45.120000000000005</c:v>
                </c:pt>
                <c:pt idx="36">
                  <c:v>-44.04</c:v>
                </c:pt>
                <c:pt idx="37">
                  <c:v>-39.6</c:v>
                </c:pt>
                <c:pt idx="38">
                  <c:v>-31.2</c:v>
                </c:pt>
                <c:pt idx="39">
                  <c:v>-23.1</c:v>
                </c:pt>
                <c:pt idx="40">
                  <c:v>-14.9988</c:v>
                </c:pt>
                <c:pt idx="41">
                  <c:v>-14.4</c:v>
                </c:pt>
                <c:pt idx="42">
                  <c:v>-13.8</c:v>
                </c:pt>
                <c:pt idx="43">
                  <c:v>-13.2</c:v>
                </c:pt>
                <c:pt idx="44">
                  <c:v>-12.6</c:v>
                </c:pt>
              </c:numCache>
            </c:numRef>
          </c:yVal>
          <c:smooth val="0"/>
        </c:ser>
        <c:ser>
          <c:idx val="1"/>
          <c:order val="1"/>
          <c:tx>
            <c:v>Temp [summer] (C)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Calculations!$AL$12:$AL$56</c:f>
              <c:numCache>
                <c:ptCount val="45"/>
                <c:pt idx="0">
                  <c:v>-2.7459000000000024</c:v>
                </c:pt>
                <c:pt idx="1">
                  <c:v>-12.657396</c:v>
                </c:pt>
                <c:pt idx="2">
                  <c:v>-18.416892</c:v>
                </c:pt>
                <c:pt idx="3">
                  <c:v>-23.138388</c:v>
                </c:pt>
                <c:pt idx="4">
                  <c:v>-25.645484</c:v>
                </c:pt>
                <c:pt idx="5">
                  <c:v>-27.391379999999998</c:v>
                </c:pt>
                <c:pt idx="6">
                  <c:v>-28.168475999999995</c:v>
                </c:pt>
                <c:pt idx="7">
                  <c:v>-28.876371999999996</c:v>
                </c:pt>
                <c:pt idx="8">
                  <c:v>-29.445867999999994</c:v>
                </c:pt>
                <c:pt idx="9">
                  <c:v>-29.946163999999996</c:v>
                </c:pt>
                <c:pt idx="10">
                  <c:v>-30.44645999999999</c:v>
                </c:pt>
                <c:pt idx="11">
                  <c:v>-30.808355999999993</c:v>
                </c:pt>
                <c:pt idx="12">
                  <c:v>-31.101051999999992</c:v>
                </c:pt>
                <c:pt idx="13">
                  <c:v>-31.39374799999999</c:v>
                </c:pt>
                <c:pt idx="14">
                  <c:v>-31.68644399999999</c:v>
                </c:pt>
                <c:pt idx="15">
                  <c:v>-31.94453999999999</c:v>
                </c:pt>
                <c:pt idx="16">
                  <c:v>-32.20263599999999</c:v>
                </c:pt>
                <c:pt idx="17">
                  <c:v>-32.84133199999999</c:v>
                </c:pt>
                <c:pt idx="18">
                  <c:v>-34.10282799999999</c:v>
                </c:pt>
                <c:pt idx="19">
                  <c:v>-34.754850000000005</c:v>
                </c:pt>
                <c:pt idx="20">
                  <c:v>-34.33708</c:v>
                </c:pt>
                <c:pt idx="21">
                  <c:v>-33.01971</c:v>
                </c:pt>
                <c:pt idx="22">
                  <c:v>-32.117540000000005</c:v>
                </c:pt>
                <c:pt idx="23">
                  <c:v>-31.49217</c:v>
                </c:pt>
                <c:pt idx="24">
                  <c:v>-30.313200000000002</c:v>
                </c:pt>
                <c:pt idx="25">
                  <c:v>-29.134230000000002</c:v>
                </c:pt>
                <c:pt idx="26">
                  <c:v>-28.093660000000003</c:v>
                </c:pt>
                <c:pt idx="27">
                  <c:v>-27.260690000000004</c:v>
                </c:pt>
                <c:pt idx="28">
                  <c:v>-26.91212</c:v>
                </c:pt>
                <c:pt idx="29">
                  <c:v>-26.563550000000003</c:v>
                </c:pt>
                <c:pt idx="30">
                  <c:v>-26.214980000000004</c:v>
                </c:pt>
                <c:pt idx="31">
                  <c:v>-25.797210000000003</c:v>
                </c:pt>
                <c:pt idx="32">
                  <c:v>-25.10264</c:v>
                </c:pt>
                <c:pt idx="33">
                  <c:v>-23.785270000000004</c:v>
                </c:pt>
                <c:pt idx="34">
                  <c:v>-22.121900000000004</c:v>
                </c:pt>
                <c:pt idx="35">
                  <c:v>-19.83573</c:v>
                </c:pt>
                <c:pt idx="36">
                  <c:v>-18.933560000000003</c:v>
                </c:pt>
                <c:pt idx="37">
                  <c:v>-16.093790000000002</c:v>
                </c:pt>
                <c:pt idx="38">
                  <c:v>-10.970420000000003</c:v>
                </c:pt>
                <c:pt idx="39">
                  <c:v>-6.020050000000001</c:v>
                </c:pt>
                <c:pt idx="40">
                  <c:v>-1.068988000000001</c:v>
                </c:pt>
                <c:pt idx="41">
                  <c:v>-0.44431000000000154</c:v>
                </c:pt>
                <c:pt idx="42">
                  <c:v>0.18105999999999867</c:v>
                </c:pt>
                <c:pt idx="43">
                  <c:v>0.8064299999999989</c:v>
                </c:pt>
                <c:pt idx="44">
                  <c:v>1.431799999999999</c:v>
                </c:pt>
              </c:numCache>
            </c:numRef>
          </c:yVal>
          <c:smooth val="0"/>
        </c:ser>
        <c:axId val="36755804"/>
        <c:axId val="62366781"/>
      </c:scatterChart>
      <c:valAx>
        <c:axId val="3675580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crossBetween val="midCat"/>
        <c:dispUnits/>
      </c:valAx>
      <c:valAx>
        <c:axId val="6236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558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75"/>
          <c:y val="0.0135"/>
          <c:w val="0.36775"/>
          <c:h val="0.183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38100</xdr:rowOff>
    </xdr:from>
    <xdr:to>
      <xdr:col>7</xdr:col>
      <xdr:colOff>600075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1352550" y="238125"/>
        <a:ext cx="3590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17</xdr:row>
      <xdr:rowOff>38100</xdr:rowOff>
    </xdr:from>
    <xdr:to>
      <xdr:col>7</xdr:col>
      <xdr:colOff>581025</xdr:colOff>
      <xdr:row>30</xdr:row>
      <xdr:rowOff>142875</xdr:rowOff>
    </xdr:to>
    <xdr:graphicFrame>
      <xdr:nvGraphicFramePr>
        <xdr:cNvPr id="2" name="Chart 3"/>
        <xdr:cNvGraphicFramePr/>
      </xdr:nvGraphicFramePr>
      <xdr:xfrm>
        <a:off x="1352550" y="2828925"/>
        <a:ext cx="35718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</xdr:row>
      <xdr:rowOff>47625</xdr:rowOff>
    </xdr:from>
    <xdr:to>
      <xdr:col>13</xdr:col>
      <xdr:colOff>581025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5000625" y="247650"/>
        <a:ext cx="35814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</xdr:colOff>
      <xdr:row>17</xdr:row>
      <xdr:rowOff>38100</xdr:rowOff>
    </xdr:from>
    <xdr:to>
      <xdr:col>13</xdr:col>
      <xdr:colOff>581025</xdr:colOff>
      <xdr:row>30</xdr:row>
      <xdr:rowOff>152400</xdr:rowOff>
    </xdr:to>
    <xdr:graphicFrame>
      <xdr:nvGraphicFramePr>
        <xdr:cNvPr id="4" name="Chart 5"/>
        <xdr:cNvGraphicFramePr/>
      </xdr:nvGraphicFramePr>
      <xdr:xfrm>
        <a:off x="5000625" y="2828925"/>
        <a:ext cx="358140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2" width="10.28125" style="4" customWidth="1"/>
    <col min="3" max="16384" width="9.140625" style="4" customWidth="1"/>
  </cols>
  <sheetData>
    <row r="1" spans="1:5" s="15" customFormat="1" ht="15.75">
      <c r="A1" s="14" t="str">
        <f>IF(B8=1,"Ice-sheet model Antarctica",IF(B8=2,"Ice-sheet model Greenland","Ice-sheet model"))</f>
        <v>Ice-sheet model Antarctica</v>
      </c>
      <c r="E1" s="3" t="s">
        <v>85</v>
      </c>
    </row>
    <row r="3" spans="1:2" ht="12.75">
      <c r="A3" s="26" t="s">
        <v>31</v>
      </c>
      <c r="B3" s="12">
        <v>2</v>
      </c>
    </row>
    <row r="4" spans="1:2" ht="12.75">
      <c r="A4" s="27" t="s">
        <v>32</v>
      </c>
      <c r="B4" s="13">
        <v>0</v>
      </c>
    </row>
    <row r="5" spans="1:2" ht="12.75">
      <c r="A5" s="6"/>
      <c r="B5" s="6"/>
    </row>
    <row r="6" spans="1:2" ht="12.75">
      <c r="A6" s="21" t="s">
        <v>55</v>
      </c>
      <c r="B6" s="9">
        <v>1</v>
      </c>
    </row>
    <row r="7" spans="1:2" ht="12.75">
      <c r="A7" s="22" t="s">
        <v>40</v>
      </c>
      <c r="B7" s="10">
        <v>1</v>
      </c>
    </row>
    <row r="8" spans="1:2" ht="12.75">
      <c r="A8" s="22" t="s">
        <v>61</v>
      </c>
      <c r="B8" s="10">
        <v>1</v>
      </c>
    </row>
    <row r="9" spans="1:2" ht="12.75">
      <c r="A9" s="22" t="s">
        <v>45</v>
      </c>
      <c r="B9" s="10">
        <v>1</v>
      </c>
    </row>
    <row r="10" spans="1:2" ht="12.75">
      <c r="A10" s="23" t="s">
        <v>48</v>
      </c>
      <c r="B10" s="11">
        <v>1</v>
      </c>
    </row>
    <row r="12" spans="1:2" ht="12.75">
      <c r="A12" s="7" t="s">
        <v>30</v>
      </c>
      <c r="B12" s="16">
        <f>Calculations!V7*Calculations!L7</f>
        <v>31867494.053844076</v>
      </c>
    </row>
    <row r="13" spans="1:2" ht="12.75">
      <c r="A13" s="17" t="s">
        <v>46</v>
      </c>
      <c r="B13" s="18">
        <f>Calculations!X7</f>
        <v>106.22498017948026</v>
      </c>
    </row>
    <row r="14" spans="1:2" ht="12.75">
      <c r="A14" s="5" t="s">
        <v>80</v>
      </c>
      <c r="B14" s="8">
        <f>SUM(Calculations!AU12:AU56)*Calculations!I4/1000</f>
        <v>4680</v>
      </c>
    </row>
    <row r="15" spans="1:3" ht="12.75">
      <c r="A15" s="28">
        <f>Calculations!I5</f>
        <v>200</v>
      </c>
      <c r="B15" s="28">
        <f>IF(B3=1,A15+C15,0)</f>
        <v>0</v>
      </c>
      <c r="C15" s="28">
        <f>B15</f>
        <v>0</v>
      </c>
    </row>
    <row r="16" spans="1:2" ht="12.75">
      <c r="A16" s="7" t="s">
        <v>81</v>
      </c>
      <c r="B16" s="25">
        <f>Calculations!R6</f>
        <v>0</v>
      </c>
    </row>
    <row r="17" spans="1:2" ht="12.75">
      <c r="A17" s="5" t="s">
        <v>82</v>
      </c>
      <c r="B17" s="24">
        <f>B15</f>
        <v>0</v>
      </c>
    </row>
    <row r="32" spans="1:5" ht="12.75">
      <c r="A32" s="29" t="s">
        <v>83</v>
      </c>
      <c r="E32" s="29" t="s">
        <v>84</v>
      </c>
    </row>
  </sheetData>
  <sheetProtection/>
  <dataValidations count="9">
    <dataValidation type="whole" allowBlank="1" showInputMessage="1" showErrorMessage="1" promptTitle="model run" prompt="1 = run the model&#10;2 = start model from observations&#10;0 = initialize model" errorTitle="foutieve input" error="Foutieve input: 0 of 1!" sqref="B3">
      <formula1>0</formula1>
      <formula2>2</formula2>
    </dataValidation>
    <dataValidation type="decimal" allowBlank="1" showInputMessage="1" showErrorMessage="1" promptTitle="Temperature" prompt="Give background temperature forcing (-15, 25)" errorTitle="Foutieve input" error="Foutieve input: tussen -15 en +25" sqref="B4">
      <formula1>-15</formula1>
      <formula2>25</formula2>
    </dataValidation>
    <dataValidation type="whole" allowBlank="1" showInputMessage="1" showErrorMessage="1" promptTitle="Sea level" prompt="1 = Sea-level variations taken into account&#10;0 = no sea-level variations" errorTitle="Foutieve input" error="Foutieve input: 0 of 1!" sqref="B10">
      <formula1>0</formula1>
      <formula2>1</formula2>
    </dataValidation>
    <dataValidation type="whole" operator="equal" allowBlank="1" showInputMessage="1" showErrorMessage="1" errorTitle="Foutieve keuze" error="Deze cel kan niet veranderd worden" sqref="E2:E31 B1:B2 H1:I47 K1:R47 J1:J2 J7:J47 G2:G47 B5 A7:A9 A32:E33 C1:C11 A34:A47 B34:B36 A11:B11 B39:B47 D34:D47 A16:A17 A1:A2 F1:F47 A18:A31 E34:E47 A3:A5 A15 B12:C17 A13:A14 A12 D2:D31 B18:B31 C18:C31 C34:C47 D1:E1">
      <formula1>-9999</formula1>
    </dataValidation>
    <dataValidation type="whole" operator="equal" allowBlank="1" showInputMessage="1" showErrorMessage="1" errorTitle="Fautieve keuze" error="Deze cel kan niet veranderd worden" sqref="A10">
      <formula1>-9999</formula1>
    </dataValidation>
    <dataValidation type="whole" allowBlank="1" showInputMessage="1" showErrorMessage="1" promptTitle="Ice-temperature coupling" prompt="0 = isotherm ice sheet&#10;1 = ice deformation as a function of temperature" errorTitle="Foutieve input" error="Foutieve input: 0 of 1!" sqref="B7">
      <formula1>0</formula1>
      <formula2>1</formula2>
    </dataValidation>
    <dataValidation type="whole" allowBlank="1" showInputMessage="1" showErrorMessage="1" promptTitle="Topography" prompt="1 = Antarctica&#10;2 = Groenland&#10;0 = horizontal bedrock" errorTitle="Foutieve input" error="Foutieve input: 0 of 1!" sqref="B8">
      <formula1>0</formula1>
      <formula2>2</formula2>
    </dataValidation>
    <dataValidation type="whole" allowBlank="1" showInputMessage="1" showErrorMessage="1" promptTitle="Isostasy" prompt="1 = isostatic adjustement due to ice load&#10;0 = no isostacy" errorTitle="Foutieve input" error="Foutieve input: 0 of 1!" sqref="B9">
      <formula1>0</formula1>
      <formula2>1</formula2>
    </dataValidation>
    <dataValidation type="whole" allowBlank="1" showInputMessage="1" showErrorMessage="1" promptTitle="Basal sliding" prompt="0 = no sliding&#10;1 = basal sliding" errorTitle="Foutieve input" error="Foutieve input: 0 of 1!" sqref="B6">
      <formula1>0</formula1>
      <formula2>1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U56"/>
  <sheetViews>
    <sheetView workbookViewId="0" topLeftCell="A1">
      <selection activeCell="A1" sqref="A1"/>
    </sheetView>
  </sheetViews>
  <sheetFormatPr defaultColWidth="9.140625" defaultRowHeight="12.75"/>
  <cols>
    <col min="21" max="21" width="11.421875" style="0" customWidth="1"/>
  </cols>
  <sheetData>
    <row r="2" ht="20.25">
      <c r="B2" s="30" t="s">
        <v>60</v>
      </c>
    </row>
    <row r="4" spans="2:28" ht="12.75">
      <c r="B4" s="33" t="s">
        <v>0</v>
      </c>
      <c r="C4" s="25">
        <v>917</v>
      </c>
      <c r="D4" s="31"/>
      <c r="E4" s="33" t="s">
        <v>39</v>
      </c>
      <c r="F4" s="25">
        <f>F7*0.139533635992*EXP(0.49836/POWER((280-F5),1.17)-9478/F5)</f>
        <v>1.911106646064752E-15</v>
      </c>
      <c r="H4" s="33" t="s">
        <v>3</v>
      </c>
      <c r="I4" s="25">
        <f>IF(I6=1,120000,IF(I6=2,36000,100000))</f>
        <v>120000</v>
      </c>
      <c r="K4" s="33" t="s">
        <v>16</v>
      </c>
      <c r="L4" s="25">
        <f>Model!B3</f>
        <v>2</v>
      </c>
      <c r="Q4" s="33" t="s">
        <v>51</v>
      </c>
      <c r="R4" s="25">
        <f>IF(R7=1,L6*15,0)</f>
        <v>0</v>
      </c>
      <c r="T4" s="33" t="s">
        <v>53</v>
      </c>
      <c r="U4" s="25">
        <f>Model!B6</f>
        <v>1</v>
      </c>
      <c r="W4" s="39" t="s">
        <v>62</v>
      </c>
      <c r="X4" s="43">
        <f>IF(L6&gt;0,0,L6)</f>
        <v>0</v>
      </c>
      <c r="Z4" s="19" t="s">
        <v>63</v>
      </c>
      <c r="AA4" s="19" t="s">
        <v>64</v>
      </c>
      <c r="AB4" s="19" t="s">
        <v>65</v>
      </c>
    </row>
    <row r="5" spans="2:28" ht="12.75">
      <c r="B5" s="34" t="s">
        <v>1</v>
      </c>
      <c r="C5" s="35">
        <v>9.81</v>
      </c>
      <c r="D5" s="31"/>
      <c r="E5" s="34" t="s">
        <v>38</v>
      </c>
      <c r="F5" s="35">
        <f>IF(L6&lt;0,L6+273.15-10,L6/2+273.15-10)</f>
        <v>263.15</v>
      </c>
      <c r="H5" s="34" t="s">
        <v>4</v>
      </c>
      <c r="I5" s="35">
        <f>IF(OR(I6=0,I6=1),200,40)</f>
        <v>200</v>
      </c>
      <c r="K5" s="34" t="s">
        <v>24</v>
      </c>
      <c r="L5" s="35">
        <f>IF(OR(I6=1,I6=0),2.5,1)</f>
        <v>2.5</v>
      </c>
      <c r="N5" s="33" t="s">
        <v>66</v>
      </c>
      <c r="O5" s="25">
        <v>3300</v>
      </c>
      <c r="Q5" s="34" t="s">
        <v>50</v>
      </c>
      <c r="R5" s="35">
        <f>IF(R4&gt;0,0,R4)</f>
        <v>0</v>
      </c>
      <c r="T5" s="37" t="s">
        <v>54</v>
      </c>
      <c r="U5" s="38">
        <f>C6*500000</f>
        <v>9.555533230323759E-10</v>
      </c>
      <c r="Z5" s="20">
        <f>I5</f>
        <v>200</v>
      </c>
      <c r="AA5" s="20">
        <f>IF(L4=1,AB5+Z5,0)</f>
        <v>0</v>
      </c>
      <c r="AB5" s="20">
        <f>AA5</f>
        <v>0</v>
      </c>
    </row>
    <row r="6" spans="2:24" ht="12.75">
      <c r="B6" s="34" t="s">
        <v>2</v>
      </c>
      <c r="C6" s="36">
        <f>IF(C7=0,F6,F4)</f>
        <v>1.911106646064752E-15</v>
      </c>
      <c r="D6" s="32"/>
      <c r="E6" s="34" t="s">
        <v>37</v>
      </c>
      <c r="F6" s="36">
        <f>IF(OR(I6=1,I6=0),0.0000000000000019,0.000000000000000243)</f>
        <v>1.9E-15</v>
      </c>
      <c r="H6" s="34" t="s">
        <v>34</v>
      </c>
      <c r="I6" s="35">
        <f>Model!B8</f>
        <v>1</v>
      </c>
      <c r="K6" s="34" t="s">
        <v>27</v>
      </c>
      <c r="L6" s="35">
        <f>Model!B4</f>
        <v>0</v>
      </c>
      <c r="N6" s="34" t="s">
        <v>44</v>
      </c>
      <c r="O6" s="35">
        <v>3000</v>
      </c>
      <c r="Q6" s="34" t="s">
        <v>47</v>
      </c>
      <c r="R6" s="35">
        <f>IF(R5&lt;-150,-150,R5)</f>
        <v>0</v>
      </c>
      <c r="T6" s="1"/>
      <c r="W6" s="33" t="s">
        <v>30</v>
      </c>
      <c r="X6" s="42" t="s">
        <v>46</v>
      </c>
    </row>
    <row r="7" spans="2:24" ht="12.75">
      <c r="B7" s="37" t="s">
        <v>35</v>
      </c>
      <c r="C7" s="24">
        <f>Model!B7</f>
        <v>1</v>
      </c>
      <c r="D7" s="31"/>
      <c r="E7" s="37" t="s">
        <v>36</v>
      </c>
      <c r="F7" s="24">
        <f>IF(OR(I6=0,I6=1),59,IF(I6=2,7.5))</f>
        <v>59</v>
      </c>
      <c r="H7" s="37" t="s">
        <v>10</v>
      </c>
      <c r="I7" s="24">
        <f>0.25*I5/(I4*I4)</f>
        <v>3.472222222222222E-09</v>
      </c>
      <c r="K7" s="37" t="s">
        <v>30</v>
      </c>
      <c r="L7" s="24">
        <f>SUM(Q12:Q52)/1000</f>
        <v>105.77</v>
      </c>
      <c r="N7" s="37" t="s">
        <v>43</v>
      </c>
      <c r="O7" s="24">
        <f>Model!B9</f>
        <v>1</v>
      </c>
      <c r="Q7" s="37" t="s">
        <v>49</v>
      </c>
      <c r="R7" s="24">
        <f>Model!B10</f>
        <v>1</v>
      </c>
      <c r="T7" s="39" t="s">
        <v>57</v>
      </c>
      <c r="U7" s="40">
        <f>IF(I6=0,100,IF(I6=1,99.5716825,54.5237648))</f>
        <v>99.5716825</v>
      </c>
      <c r="V7" s="40">
        <f>IF(OR(I6=0,I6=1),30000000/U7,2600000/U7)</f>
        <v>301290.479851036</v>
      </c>
      <c r="W7" s="41">
        <f>V7*U7</f>
        <v>30000000</v>
      </c>
      <c r="X7" s="24">
        <f>100+(L7*V7-W7)*100/W7</f>
        <v>106.22498017948026</v>
      </c>
    </row>
    <row r="8" ht="12.75">
      <c r="D8" s="1"/>
    </row>
    <row r="9" ht="12.75">
      <c r="D9" s="1"/>
    </row>
    <row r="10" spans="2:45" ht="12.75">
      <c r="B10" s="33" t="s">
        <v>67</v>
      </c>
      <c r="C10" s="44"/>
      <c r="D10" s="45"/>
      <c r="E10" s="25"/>
      <c r="G10" s="33" t="s">
        <v>68</v>
      </c>
      <c r="H10" s="44"/>
      <c r="I10" s="25"/>
      <c r="K10" s="33" t="s">
        <v>74</v>
      </c>
      <c r="L10" s="44"/>
      <c r="M10" s="44"/>
      <c r="N10" s="44"/>
      <c r="O10" s="25"/>
      <c r="P10" s="31"/>
      <c r="Q10" s="33" t="s">
        <v>76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25"/>
      <c r="AH10" s="33" t="s">
        <v>77</v>
      </c>
      <c r="AI10" s="42"/>
      <c r="AK10" s="33" t="s">
        <v>78</v>
      </c>
      <c r="AL10" s="45"/>
      <c r="AM10" s="45"/>
      <c r="AN10" s="45"/>
      <c r="AO10" s="42"/>
      <c r="AQ10" s="33" t="s">
        <v>79</v>
      </c>
      <c r="AR10" s="45"/>
      <c r="AS10" s="42"/>
    </row>
    <row r="11" spans="2:47" s="1" customFormat="1" ht="12.75">
      <c r="B11" s="34" t="s">
        <v>58</v>
      </c>
      <c r="C11" s="46" t="s">
        <v>69</v>
      </c>
      <c r="D11" s="46" t="s">
        <v>70</v>
      </c>
      <c r="E11" s="47" t="s">
        <v>71</v>
      </c>
      <c r="G11" s="34" t="s">
        <v>69</v>
      </c>
      <c r="H11" s="46" t="s">
        <v>70</v>
      </c>
      <c r="I11" s="47" t="s">
        <v>72</v>
      </c>
      <c r="K11" s="34" t="s">
        <v>20</v>
      </c>
      <c r="L11" s="46" t="s">
        <v>73</v>
      </c>
      <c r="M11" s="46" t="s">
        <v>70</v>
      </c>
      <c r="N11" s="46" t="s">
        <v>69</v>
      </c>
      <c r="O11" s="47" t="s">
        <v>75</v>
      </c>
      <c r="P11" s="54"/>
      <c r="Q11" s="34" t="s">
        <v>5</v>
      </c>
      <c r="R11" s="46" t="s">
        <v>25</v>
      </c>
      <c r="S11" s="46" t="s">
        <v>7</v>
      </c>
      <c r="T11" s="46" t="s">
        <v>52</v>
      </c>
      <c r="U11" s="46" t="s">
        <v>8</v>
      </c>
      <c r="V11" s="46" t="s">
        <v>21</v>
      </c>
      <c r="W11" s="46" t="s">
        <v>22</v>
      </c>
      <c r="X11" s="46" t="s">
        <v>23</v>
      </c>
      <c r="Y11" s="46" t="s">
        <v>13</v>
      </c>
      <c r="Z11" s="46" t="s">
        <v>9</v>
      </c>
      <c r="AA11" s="46" t="s">
        <v>11</v>
      </c>
      <c r="AB11" s="46" t="s">
        <v>12</v>
      </c>
      <c r="AC11" s="46" t="s">
        <v>14</v>
      </c>
      <c r="AD11" s="46" t="s">
        <v>1</v>
      </c>
      <c r="AE11" s="46" t="s">
        <v>15</v>
      </c>
      <c r="AF11" s="47" t="s">
        <v>18</v>
      </c>
      <c r="AH11" s="34" t="s">
        <v>19</v>
      </c>
      <c r="AI11" s="47" t="s">
        <v>56</v>
      </c>
      <c r="AK11" s="34" t="s">
        <v>26</v>
      </c>
      <c r="AL11" s="46" t="s">
        <v>28</v>
      </c>
      <c r="AM11" s="46" t="s">
        <v>29</v>
      </c>
      <c r="AN11" s="46" t="s">
        <v>33</v>
      </c>
      <c r="AO11" s="47" t="s">
        <v>17</v>
      </c>
      <c r="AQ11" s="34" t="s">
        <v>6</v>
      </c>
      <c r="AR11" s="46" t="s">
        <v>41</v>
      </c>
      <c r="AS11" s="47" t="s">
        <v>42</v>
      </c>
      <c r="AU11" s="69" t="s">
        <v>59</v>
      </c>
    </row>
    <row r="12" spans="2:47" ht="12.75">
      <c r="B12" s="48">
        <v>0</v>
      </c>
      <c r="C12" s="2">
        <v>0</v>
      </c>
      <c r="D12" s="2">
        <v>0</v>
      </c>
      <c r="E12" s="49">
        <v>70</v>
      </c>
      <c r="G12" s="48">
        <v>-2230.77</v>
      </c>
      <c r="H12" s="50">
        <v>-2230.77</v>
      </c>
      <c r="I12" s="49">
        <f aca="true" t="shared" si="0" ref="I12:I56">60-35/0.6*(B12-0.2)</f>
        <v>71.66666666666667</v>
      </c>
      <c r="K12" s="48">
        <f>L12/1000</f>
        <v>0</v>
      </c>
      <c r="L12" s="50">
        <v>0</v>
      </c>
      <c r="M12" s="50">
        <f aca="true" t="shared" si="1" ref="M12:M56">IF($I$6=1,D12,IF($I$6=2,H12))</f>
        <v>0</v>
      </c>
      <c r="N12" s="50">
        <f aca="true" t="shared" si="2" ref="N12:N56">IF($I$6=1,C12,IF($I$6=2,G12,0))</f>
        <v>0</v>
      </c>
      <c r="O12" s="55">
        <f aca="true" t="shared" si="3" ref="O12:O56">IF(OR($L$4=0,$L$4=1),0.01,M12-N12)</f>
        <v>0</v>
      </c>
      <c r="P12" s="2"/>
      <c r="Q12" s="48">
        <v>0</v>
      </c>
      <c r="R12" s="50">
        <f aca="true" t="shared" si="4" ref="R12:R56">Q12+AQ12</f>
        <v>0</v>
      </c>
      <c r="S12" s="50">
        <v>0</v>
      </c>
      <c r="T12" s="57">
        <f>IF($U$4=1,$U$5*$C$4*$C$4*$C$4*$C$5*$C$5*$C$5*Q12*Q12*Q12*Q12*S12*S12/(Q12+0.01+1028*(AQ12-$R$6)/$C$4),0)</f>
        <v>0</v>
      </c>
      <c r="U12" s="57">
        <f aca="true" t="shared" si="5" ref="U12:U56">-2*$C$6*Q12*Q12*Q12*Q12*Q12*$C$4*$C$4*$C$4*$C$5*$C$5*$C$5*S12*S12/5-T12</f>
        <v>0</v>
      </c>
      <c r="V12" s="58"/>
      <c r="W12" s="58"/>
      <c r="X12" s="58"/>
      <c r="Y12" s="58"/>
      <c r="Z12" s="58"/>
      <c r="AA12" s="58"/>
      <c r="AB12" s="58"/>
      <c r="AC12" s="58"/>
      <c r="AD12" s="58"/>
      <c r="AE12" s="58">
        <v>0</v>
      </c>
      <c r="AF12" s="49">
        <f aca="true" t="shared" si="6" ref="AF12:AF56">IF(OR(AE12&lt;0,AND(B12&lt;0.15,$I$6=2)),0,AE12)</f>
        <v>0</v>
      </c>
      <c r="AH12" s="61">
        <f aca="true" t="shared" si="7" ref="AH12:AH56">IF(Q12=0,0,ABS(U12*S12/Q12))</f>
        <v>0</v>
      </c>
      <c r="AI12" s="62">
        <f>IF(Q12=0,0,ABS(T12*S12))</f>
        <v>0</v>
      </c>
      <c r="AK12" s="48">
        <f>IF(OR($I$6=1,$I$6=0),-15-0.012*R12+$L$6,-5.31-0.007992*R12+$L$6)</f>
        <v>-15</v>
      </c>
      <c r="AL12" s="50">
        <f aca="true" t="shared" si="8" ref="AL12:AL56">IF(OR($I$6=1,$I$6=0),16.81-0.00692*R12-0.27937*E12+$L$6,7.2936-0.006277*R12+$L$6)</f>
        <v>-2.7459000000000024</v>
      </c>
      <c r="AM12" s="50">
        <f>IF(AL12&lt;0,0,MAX(-AL12*1.4,-10))</f>
        <v>0</v>
      </c>
      <c r="AN12" s="50">
        <f aca="true" t="shared" si="9" ref="AN12:AN56">IF(OR($I$6=0,$I$6=1),2.5*EXP((AK12/10)*LN(2)),(-2.46257+0.1367*I12-0.0016*I12*I12)*POWER(1.0533,$X$4))</f>
        <v>0.8838834764831844</v>
      </c>
      <c r="AO12" s="49">
        <f aca="true" t="shared" si="10" ref="AO12:AO56">AM12+AN12</f>
        <v>0.8838834764831844</v>
      </c>
      <c r="AQ12" s="65">
        <f aca="true" t="shared" si="11" ref="AQ12:AQ56">IF(AND($O$7=1,$L$4=1),AS12,IF(AND($L$4=0,$O$7=1),AR12,N12))</f>
        <v>0</v>
      </c>
      <c r="AR12" s="50">
        <f aca="true" t="shared" si="12" ref="AR12:AR56">N12+$C$4*(M12-N12)/$O$5</f>
        <v>0</v>
      </c>
      <c r="AS12" s="49">
        <f>N12</f>
        <v>0</v>
      </c>
      <c r="AU12" s="67">
        <f>IF(Q12=0,0,1)</f>
        <v>0</v>
      </c>
    </row>
    <row r="13" spans="2:47" ht="12.75">
      <c r="B13" s="48">
        <f aca="true" t="shared" si="13" ref="B13:B56">B12+$I$4/$L$56</f>
        <v>0.022727272727272728</v>
      </c>
      <c r="C13" s="2">
        <v>-50</v>
      </c>
      <c r="D13" s="2">
        <v>1400</v>
      </c>
      <c r="E13" s="49">
        <f>E12+0.8</f>
        <v>70.8</v>
      </c>
      <c r="G13" s="48">
        <v>-2292.63</v>
      </c>
      <c r="H13" s="50">
        <v>-2292.63</v>
      </c>
      <c r="I13" s="49">
        <f t="shared" si="0"/>
        <v>70.3409090909091</v>
      </c>
      <c r="K13" s="48">
        <f aca="true" t="shared" si="14" ref="K13:K52">L13/1000</f>
        <v>120</v>
      </c>
      <c r="L13" s="50">
        <f>L12+$I$4</f>
        <v>120000</v>
      </c>
      <c r="M13" s="50">
        <f t="shared" si="1"/>
        <v>1400</v>
      </c>
      <c r="N13" s="50">
        <f t="shared" si="2"/>
        <v>-50</v>
      </c>
      <c r="O13" s="55">
        <f t="shared" si="3"/>
        <v>1450</v>
      </c>
      <c r="P13" s="2"/>
      <c r="Q13" s="48">
        <f aca="true" t="shared" si="15" ref="Q13:Q56">IF($L$4=1,AF13,O13)</f>
        <v>1450</v>
      </c>
      <c r="R13" s="50">
        <f t="shared" si="4"/>
        <v>1400</v>
      </c>
      <c r="S13" s="50">
        <f aca="true" t="shared" si="16" ref="S13:S55">(Q14+AQ14-Q12-AQ12)/(2*$I$4)</f>
        <v>0.009166666666666667</v>
      </c>
      <c r="T13" s="57">
        <f aca="true" t="shared" si="17" ref="T13:T56">IF($U$4=1,$U$5*$C$4*$C$4*$C$4*$C$5*$C$5*$C$5*Q13*Q13*Q13*Q13*S13*S13/(Q13+0.01+1028*(AQ13-$R$6)/$C$4),0)</f>
        <v>185359676.213048</v>
      </c>
      <c r="U13" s="57">
        <f t="shared" si="5"/>
        <v>-485084582.21781254</v>
      </c>
      <c r="V13" s="57">
        <f>-$I$7*(U13+U12)</f>
        <v>1.6843214660340713</v>
      </c>
      <c r="W13" s="57">
        <f>-$I$7*(U14+2*U13+U12)</f>
        <v>9.03591845649932</v>
      </c>
      <c r="X13" s="57">
        <f>-$I$7*(U13+U14)</f>
        <v>7.351596990465251</v>
      </c>
      <c r="Y13" s="57">
        <f aca="true" t="shared" si="18" ref="Y13:Y55">Q13+$I$5*AO13+V13*AQ12-W13*AQ13+X13*AQ14+(1-$L$5)*(X13*Q14-(W13+1)*Q13+V13*Q12)</f>
        <v>-2313.0818131724877</v>
      </c>
      <c r="Z13" s="57">
        <f>$L$5*V13</f>
        <v>4.210803665085178</v>
      </c>
      <c r="AA13" s="58">
        <f>(W13+1)*$L$5</f>
        <v>25.0897961412483</v>
      </c>
      <c r="AB13" s="57">
        <f>$L$5*X13</f>
        <v>18.378992476163127</v>
      </c>
      <c r="AC13" s="57">
        <f>AB13/AA13</f>
        <v>0.7325285694907488</v>
      </c>
      <c r="AD13" s="58">
        <f>(Y13+Z13*Q12)/AA13</f>
        <v>-92.19213261640333</v>
      </c>
      <c r="AE13" s="58">
        <f aca="true" t="shared" si="19" ref="AE13:AE30">AC13*AE14+AD13</f>
        <v>1483.958636437283</v>
      </c>
      <c r="AF13" s="49">
        <f t="shared" si="6"/>
        <v>1483.958636437283</v>
      </c>
      <c r="AH13" s="61">
        <f t="shared" si="7"/>
        <v>3066.6266691930678</v>
      </c>
      <c r="AI13" s="62">
        <f aca="true" t="shared" si="20" ref="AI13:AI56">IF(Q13=0,0,ABS(T13*S13/Q13))</f>
        <v>1171.8140450250162</v>
      </c>
      <c r="AK13" s="48">
        <f aca="true" t="shared" si="21" ref="AK13:AK56">IF(OR($I$6=1,$I$6=0),-15-0.012*R13+$L$6,-5.31-0.007992*R13+$L$6)</f>
        <v>-31.8</v>
      </c>
      <c r="AL13" s="50">
        <f t="shared" si="8"/>
        <v>-12.657396</v>
      </c>
      <c r="AM13" s="50">
        <f aca="true" t="shared" si="22" ref="AM13:AM51">IF(AL13&lt;0,0,MAX(-AL13*1.4,-10))</f>
        <v>0</v>
      </c>
      <c r="AN13" s="50">
        <f t="shared" si="9"/>
        <v>0.2758446863408296</v>
      </c>
      <c r="AO13" s="49">
        <f t="shared" si="10"/>
        <v>0.2758446863408296</v>
      </c>
      <c r="AQ13" s="65">
        <f t="shared" si="11"/>
        <v>-50</v>
      </c>
      <c r="AR13" s="50">
        <f t="shared" si="12"/>
        <v>352.92424242424244</v>
      </c>
      <c r="AS13" s="49">
        <f aca="true" t="shared" si="23" ref="AS13:AS55">-(AQ13-AR13+$C$4*AF13/$O$5)*$I$5/$O$6+AQ13</f>
        <v>-50.62909231541391</v>
      </c>
      <c r="AU13" s="67">
        <f aca="true" t="shared" si="24" ref="AU13:AU56">IF(Q13=0,0,1)</f>
        <v>1</v>
      </c>
    </row>
    <row r="14" spans="2:47" ht="12.75">
      <c r="B14" s="48">
        <f t="shared" si="13"/>
        <v>0.045454545454545456</v>
      </c>
      <c r="C14" s="2">
        <v>-100</v>
      </c>
      <c r="D14" s="2">
        <v>2200</v>
      </c>
      <c r="E14" s="49">
        <f aca="true" t="shared" si="25" ref="E14:E30">E13+0.8</f>
        <v>71.6</v>
      </c>
      <c r="G14" s="48">
        <v>-2250.39</v>
      </c>
      <c r="H14" s="50">
        <v>-2250.39</v>
      </c>
      <c r="I14" s="49">
        <f t="shared" si="0"/>
        <v>69.01515151515152</v>
      </c>
      <c r="K14" s="48">
        <f t="shared" si="14"/>
        <v>240</v>
      </c>
      <c r="L14" s="50">
        <f aca="true" t="shared" si="26" ref="L14:L52">L13+$I$4</f>
        <v>240000</v>
      </c>
      <c r="M14" s="50">
        <f t="shared" si="1"/>
        <v>2200</v>
      </c>
      <c r="N14" s="50">
        <f t="shared" si="2"/>
        <v>-100</v>
      </c>
      <c r="O14" s="55">
        <f t="shared" si="3"/>
        <v>2300</v>
      </c>
      <c r="P14" s="2"/>
      <c r="Q14" s="48">
        <f t="shared" si="15"/>
        <v>2300</v>
      </c>
      <c r="R14" s="50">
        <f t="shared" si="4"/>
        <v>2200</v>
      </c>
      <c r="S14" s="50">
        <f t="shared" si="16"/>
        <v>0.0060416666666666665</v>
      </c>
      <c r="T14" s="57">
        <f t="shared" si="17"/>
        <v>324762816.3313501</v>
      </c>
      <c r="U14" s="57">
        <f t="shared" si="5"/>
        <v>-1632175351.0361798</v>
      </c>
      <c r="V14" s="57">
        <f aca="true" t="shared" si="27" ref="V14:V55">-$I$7*(U14+U13)</f>
        <v>7.351596990465251</v>
      </c>
      <c r="W14" s="57">
        <f aca="true" t="shared" si="28" ref="W14:W55">-$I$7*(U15+2*U14+U13)</f>
        <v>15.229870924806443</v>
      </c>
      <c r="X14" s="57">
        <f aca="true" t="shared" si="29" ref="X14:X55">-$I$7*(U14+U15)</f>
        <v>7.878273934341192</v>
      </c>
      <c r="Y14" s="57">
        <f t="shared" si="18"/>
        <v>21624.88828508454</v>
      </c>
      <c r="Z14" s="57">
        <f aca="true" t="shared" si="30" ref="Z14:Z55">$L$5*V14</f>
        <v>18.378992476163127</v>
      </c>
      <c r="AA14" s="58">
        <f aca="true" t="shared" si="31" ref="AA14:AA55">(W14+1)*$L$5</f>
        <v>40.57467731201611</v>
      </c>
      <c r="AB14" s="57">
        <f aca="true" t="shared" si="32" ref="AB14:AB55">$L$5*X14</f>
        <v>19.69568483585298</v>
      </c>
      <c r="AC14" s="57">
        <f>AB14/(AA14-Z14*AC13)</f>
        <v>0.7264686793164256</v>
      </c>
      <c r="AD14" s="57">
        <f>(Y14+Z14*AD13)/(AA14-Z14*AC13)</f>
        <v>735.1293800878816</v>
      </c>
      <c r="AE14" s="58">
        <f t="shared" si="19"/>
        <v>2151.65774373745</v>
      </c>
      <c r="AF14" s="49">
        <f t="shared" si="6"/>
        <v>2151.65774373745</v>
      </c>
      <c r="AH14" s="61">
        <f t="shared" si="7"/>
        <v>4287.417135874023</v>
      </c>
      <c r="AI14" s="62">
        <f t="shared" si="20"/>
        <v>853.0907313051769</v>
      </c>
      <c r="AK14" s="48">
        <f t="shared" si="21"/>
        <v>-41.400000000000006</v>
      </c>
      <c r="AL14" s="50">
        <f t="shared" si="8"/>
        <v>-18.416892</v>
      </c>
      <c r="AM14" s="50">
        <f t="shared" si="22"/>
        <v>0</v>
      </c>
      <c r="AN14" s="50">
        <f t="shared" si="9"/>
        <v>0.14179986801830638</v>
      </c>
      <c r="AO14" s="49">
        <f t="shared" si="10"/>
        <v>0.14179986801830638</v>
      </c>
      <c r="AQ14" s="65">
        <f t="shared" si="11"/>
        <v>-100</v>
      </c>
      <c r="AR14" s="50">
        <f t="shared" si="12"/>
        <v>539.1212121212121</v>
      </c>
      <c r="AS14" s="49">
        <f t="shared" si="23"/>
        <v>-97.25192224257053</v>
      </c>
      <c r="AU14" s="67">
        <f t="shared" si="24"/>
        <v>1</v>
      </c>
    </row>
    <row r="15" spans="2:47" ht="12.75">
      <c r="B15" s="48">
        <f t="shared" si="13"/>
        <v>0.06818181818181818</v>
      </c>
      <c r="C15" s="2">
        <v>600</v>
      </c>
      <c r="D15" s="2">
        <v>2850</v>
      </c>
      <c r="E15" s="49">
        <f t="shared" si="25"/>
        <v>72.39999999999999</v>
      </c>
      <c r="G15" s="48">
        <v>-2061.61</v>
      </c>
      <c r="H15" s="50">
        <v>-2061.61</v>
      </c>
      <c r="I15" s="49">
        <f t="shared" si="0"/>
        <v>67.68939393939394</v>
      </c>
      <c r="K15" s="48">
        <f t="shared" si="14"/>
        <v>360</v>
      </c>
      <c r="L15" s="50">
        <f t="shared" si="26"/>
        <v>360000</v>
      </c>
      <c r="M15" s="50">
        <f t="shared" si="1"/>
        <v>2850</v>
      </c>
      <c r="N15" s="50">
        <f t="shared" si="2"/>
        <v>600</v>
      </c>
      <c r="O15" s="55">
        <f t="shared" si="3"/>
        <v>2250</v>
      </c>
      <c r="P15" s="2"/>
      <c r="Q15" s="48">
        <f t="shared" si="15"/>
        <v>2250</v>
      </c>
      <c r="R15" s="50">
        <f t="shared" si="4"/>
        <v>2850</v>
      </c>
      <c r="S15" s="50">
        <f t="shared" si="16"/>
        <v>0.004083333333333333</v>
      </c>
      <c r="T15" s="57">
        <f t="shared" si="17"/>
        <v>101707891.2320033</v>
      </c>
      <c r="U15" s="57">
        <f t="shared" si="5"/>
        <v>-636767542.0540833</v>
      </c>
      <c r="V15" s="57">
        <f t="shared" si="27"/>
        <v>7.878273934341192</v>
      </c>
      <c r="W15" s="57">
        <f t="shared" si="28"/>
        <v>10.988392215290991</v>
      </c>
      <c r="X15" s="57">
        <f t="shared" si="29"/>
        <v>3.1101182809498003</v>
      </c>
      <c r="Y15" s="57">
        <f t="shared" si="18"/>
        <v>-448.59580082590946</v>
      </c>
      <c r="Z15" s="57">
        <f t="shared" si="30"/>
        <v>19.69568483585298</v>
      </c>
      <c r="AA15" s="58">
        <f t="shared" si="31"/>
        <v>29.97098053822748</v>
      </c>
      <c r="AB15" s="57">
        <f t="shared" si="32"/>
        <v>7.775295702374501</v>
      </c>
      <c r="AC15" s="57">
        <f aca="true" t="shared" si="33" ref="AC15:AC55">AB15/(AA15-Z15*AC14)</f>
        <v>0.49642171820343006</v>
      </c>
      <c r="AD15" s="57">
        <f aca="true" t="shared" si="34" ref="AD15:AD55">(Y15+Z15*AD14)/(AA15-Z15*AC14)</f>
        <v>895.777647533975</v>
      </c>
      <c r="AE15" s="58">
        <f t="shared" si="19"/>
        <v>1949.8822233911828</v>
      </c>
      <c r="AF15" s="49">
        <f t="shared" si="6"/>
        <v>1949.8822233911828</v>
      </c>
      <c r="AH15" s="61">
        <f t="shared" si="7"/>
        <v>1155.615168912966</v>
      </c>
      <c r="AI15" s="62">
        <f t="shared" si="20"/>
        <v>184.58098779141338</v>
      </c>
      <c r="AK15" s="48">
        <f t="shared" si="21"/>
        <v>-49.2</v>
      </c>
      <c r="AL15" s="50">
        <f t="shared" si="8"/>
        <v>-23.138388</v>
      </c>
      <c r="AM15" s="50">
        <f t="shared" si="22"/>
        <v>0</v>
      </c>
      <c r="AN15" s="50">
        <f t="shared" si="9"/>
        <v>0.08257953441885788</v>
      </c>
      <c r="AO15" s="49">
        <f t="shared" si="10"/>
        <v>0.08257953441885788</v>
      </c>
      <c r="AQ15" s="65">
        <f t="shared" si="11"/>
        <v>600</v>
      </c>
      <c r="AR15" s="50">
        <f t="shared" si="12"/>
        <v>1225.2272727272727</v>
      </c>
      <c r="AS15" s="49">
        <f t="shared" si="23"/>
        <v>605.5597575989957</v>
      </c>
      <c r="AU15" s="67">
        <f t="shared" si="24"/>
        <v>1</v>
      </c>
    </row>
    <row r="16" spans="2:47" ht="12.75">
      <c r="B16" s="48">
        <f t="shared" si="13"/>
        <v>0.09090909090909091</v>
      </c>
      <c r="C16" s="2">
        <v>800</v>
      </c>
      <c r="D16" s="2">
        <v>3180</v>
      </c>
      <c r="E16" s="49">
        <f t="shared" si="25"/>
        <v>73.19999999999999</v>
      </c>
      <c r="G16" s="48">
        <v>-1406.43</v>
      </c>
      <c r="H16" s="50">
        <v>-1406.43</v>
      </c>
      <c r="I16" s="49">
        <f t="shared" si="0"/>
        <v>66.36363636363636</v>
      </c>
      <c r="K16" s="48">
        <f t="shared" si="14"/>
        <v>480</v>
      </c>
      <c r="L16" s="50">
        <f t="shared" si="26"/>
        <v>480000</v>
      </c>
      <c r="M16" s="50">
        <f t="shared" si="1"/>
        <v>3180</v>
      </c>
      <c r="N16" s="50">
        <f t="shared" si="2"/>
        <v>800</v>
      </c>
      <c r="O16" s="55">
        <f t="shared" si="3"/>
        <v>2380</v>
      </c>
      <c r="P16" s="2"/>
      <c r="Q16" s="48">
        <f t="shared" si="15"/>
        <v>2380</v>
      </c>
      <c r="R16" s="50">
        <f t="shared" si="4"/>
        <v>3180</v>
      </c>
      <c r="S16" s="50">
        <f t="shared" si="16"/>
        <v>0.0022916666666666667</v>
      </c>
      <c r="T16" s="57">
        <f t="shared" si="17"/>
        <v>35770453.63930096</v>
      </c>
      <c r="U16" s="57">
        <f t="shared" si="5"/>
        <v>-258946522.85945922</v>
      </c>
      <c r="V16" s="57">
        <f t="shared" si="27"/>
        <v>3.1101182809498003</v>
      </c>
      <c r="W16" s="57">
        <f>-$I$7*(U17+2*U16+U15)</f>
        <v>4.705638590003742</v>
      </c>
      <c r="X16" s="57">
        <f>-$I$7*(U16+U17)</f>
        <v>1.5955203090539418</v>
      </c>
      <c r="Y16" s="57">
        <f t="shared" si="18"/>
        <v>4223.8389435163235</v>
      </c>
      <c r="Z16" s="57">
        <f t="shared" si="30"/>
        <v>7.775295702374501</v>
      </c>
      <c r="AA16" s="58">
        <f t="shared" si="31"/>
        <v>14.264096475009357</v>
      </c>
      <c r="AB16" s="57">
        <f t="shared" si="32"/>
        <v>3.9888007726348547</v>
      </c>
      <c r="AC16" s="57">
        <f t="shared" si="33"/>
        <v>0.3833810980637519</v>
      </c>
      <c r="AD16" s="57">
        <f t="shared" si="34"/>
        <v>1075.4021331362353</v>
      </c>
      <c r="AE16" s="58">
        <f t="shared" si="19"/>
        <v>2123.4054377637913</v>
      </c>
      <c r="AF16" s="49">
        <f t="shared" si="6"/>
        <v>2123.4054377637913</v>
      </c>
      <c r="AH16" s="61">
        <f t="shared" si="7"/>
        <v>249.3357625572524</v>
      </c>
      <c r="AI16" s="62">
        <f t="shared" si="20"/>
        <v>34.4428387633325</v>
      </c>
      <c r="AK16" s="48">
        <f t="shared" si="21"/>
        <v>-53.160000000000004</v>
      </c>
      <c r="AL16" s="50">
        <f t="shared" si="8"/>
        <v>-25.645484</v>
      </c>
      <c r="AM16" s="50">
        <f t="shared" si="22"/>
        <v>0</v>
      </c>
      <c r="AN16" s="50">
        <f t="shared" si="9"/>
        <v>0.06275734349664325</v>
      </c>
      <c r="AO16" s="49">
        <f t="shared" si="10"/>
        <v>0.06275734349664325</v>
      </c>
      <c r="AQ16" s="65">
        <f t="shared" si="11"/>
        <v>800</v>
      </c>
      <c r="AR16" s="50">
        <f t="shared" si="12"/>
        <v>1461.3515151515153</v>
      </c>
      <c r="AS16" s="49">
        <f t="shared" si="23"/>
        <v>804.7534790620324</v>
      </c>
      <c r="AU16" s="67">
        <f t="shared" si="24"/>
        <v>1</v>
      </c>
    </row>
    <row r="17" spans="2:47" ht="12.75">
      <c r="B17" s="48">
        <f t="shared" si="13"/>
        <v>0.11363636363636365</v>
      </c>
      <c r="C17" s="2">
        <v>500</v>
      </c>
      <c r="D17" s="2">
        <v>3400</v>
      </c>
      <c r="E17" s="49">
        <f t="shared" si="25"/>
        <v>73.99999999999999</v>
      </c>
      <c r="G17" s="48">
        <v>-626.842</v>
      </c>
      <c r="H17" s="50">
        <v>-626.842</v>
      </c>
      <c r="I17" s="49">
        <f t="shared" si="0"/>
        <v>65.03787878787878</v>
      </c>
      <c r="K17" s="48">
        <f t="shared" si="14"/>
        <v>600</v>
      </c>
      <c r="L17" s="50">
        <f t="shared" si="26"/>
        <v>600000</v>
      </c>
      <c r="M17" s="50">
        <f t="shared" si="1"/>
        <v>3400</v>
      </c>
      <c r="N17" s="50">
        <f t="shared" si="2"/>
        <v>500</v>
      </c>
      <c r="O17" s="55">
        <f t="shared" si="3"/>
        <v>2900</v>
      </c>
      <c r="P17" s="2"/>
      <c r="Q17" s="48">
        <f t="shared" si="15"/>
        <v>2900</v>
      </c>
      <c r="R17" s="50">
        <f t="shared" si="4"/>
        <v>3400</v>
      </c>
      <c r="S17" s="50">
        <f t="shared" si="16"/>
        <v>0.00125</v>
      </c>
      <c r="T17" s="57">
        <f t="shared" si="17"/>
        <v>22214621.748546794</v>
      </c>
      <c r="U17" s="57">
        <f t="shared" si="5"/>
        <v>-200563326.14807606</v>
      </c>
      <c r="V17" s="57">
        <f>-$I$7*(U17+U16)</f>
        <v>1.5955203090539418</v>
      </c>
      <c r="W17" s="57">
        <f>-$I$7*(U18+2*U17+U16)</f>
        <v>2.5251936009215123</v>
      </c>
      <c r="X17" s="57">
        <f t="shared" si="29"/>
        <v>0.9296732918675708</v>
      </c>
      <c r="Y17" s="57">
        <f t="shared" si="18"/>
        <v>8639.635374809022</v>
      </c>
      <c r="Z17" s="57">
        <f t="shared" si="30"/>
        <v>3.9888007726348547</v>
      </c>
      <c r="AA17" s="58">
        <f t="shared" si="31"/>
        <v>8.81298400230378</v>
      </c>
      <c r="AB17" s="57">
        <f t="shared" si="32"/>
        <v>2.324183229668927</v>
      </c>
      <c r="AC17" s="57">
        <f t="shared" si="33"/>
        <v>0.31909143151225633</v>
      </c>
      <c r="AD17" s="57">
        <f t="shared" si="34"/>
        <v>1775.07390915859</v>
      </c>
      <c r="AE17" s="58">
        <f t="shared" si="19"/>
        <v>2733.5810500842304</v>
      </c>
      <c r="AF17" s="49">
        <f t="shared" si="6"/>
        <v>2733.5810500842304</v>
      </c>
      <c r="AH17" s="61">
        <f t="shared" si="7"/>
        <v>86.4497095465845</v>
      </c>
      <c r="AI17" s="62">
        <f t="shared" si="20"/>
        <v>9.575267995063273</v>
      </c>
      <c r="AK17" s="48">
        <f t="shared" si="21"/>
        <v>-55.800000000000004</v>
      </c>
      <c r="AL17" s="50">
        <f t="shared" si="8"/>
        <v>-27.391379999999998</v>
      </c>
      <c r="AM17" s="50">
        <f t="shared" si="22"/>
        <v>0</v>
      </c>
      <c r="AN17" s="50">
        <f t="shared" si="9"/>
        <v>0.0522627951088325</v>
      </c>
      <c r="AO17" s="49">
        <f t="shared" si="10"/>
        <v>0.0522627951088325</v>
      </c>
      <c r="AQ17" s="65">
        <f t="shared" si="11"/>
        <v>500</v>
      </c>
      <c r="AR17" s="50">
        <f t="shared" si="12"/>
        <v>1305.848484848485</v>
      </c>
      <c r="AS17" s="49">
        <f t="shared" si="23"/>
        <v>503.08295307217696</v>
      </c>
      <c r="AU17" s="67">
        <f t="shared" si="24"/>
        <v>1</v>
      </c>
    </row>
    <row r="18" spans="2:47" ht="12.75">
      <c r="B18" s="48">
        <f t="shared" si="13"/>
        <v>0.13636363636363638</v>
      </c>
      <c r="C18" s="2">
        <v>400</v>
      </c>
      <c r="D18" s="2">
        <v>3480</v>
      </c>
      <c r="E18" s="49">
        <f t="shared" si="25"/>
        <v>74.79999999999998</v>
      </c>
      <c r="G18" s="48">
        <v>-350.303</v>
      </c>
      <c r="H18" s="50">
        <v>-350.303</v>
      </c>
      <c r="I18" s="49">
        <f t="shared" si="0"/>
        <v>63.71212121212121</v>
      </c>
      <c r="K18" s="48">
        <f t="shared" si="14"/>
        <v>720</v>
      </c>
      <c r="L18" s="50">
        <f t="shared" si="26"/>
        <v>720000</v>
      </c>
      <c r="M18" s="50">
        <f t="shared" si="1"/>
        <v>3480</v>
      </c>
      <c r="N18" s="50">
        <f t="shared" si="2"/>
        <v>400</v>
      </c>
      <c r="O18" s="55">
        <f t="shared" si="3"/>
        <v>3080</v>
      </c>
      <c r="P18" s="2"/>
      <c r="Q18" s="48">
        <f t="shared" si="15"/>
        <v>3080</v>
      </c>
      <c r="R18" s="50">
        <f t="shared" si="4"/>
        <v>3480</v>
      </c>
      <c r="S18" s="50">
        <f t="shared" si="16"/>
        <v>0.000625</v>
      </c>
      <c r="T18" s="57">
        <f t="shared" si="17"/>
        <v>6930291.529820097</v>
      </c>
      <c r="U18" s="57">
        <f t="shared" si="5"/>
        <v>-67182581.9097843</v>
      </c>
      <c r="V18" s="57">
        <f t="shared" si="27"/>
        <v>0.9296732918675708</v>
      </c>
      <c r="W18" s="57">
        <f t="shared" si="28"/>
        <v>1.3292842455753309</v>
      </c>
      <c r="X18" s="57">
        <f t="shared" si="29"/>
        <v>0.3996109537077603</v>
      </c>
      <c r="Y18" s="57">
        <f t="shared" si="18"/>
        <v>8011.799627684921</v>
      </c>
      <c r="Z18" s="57">
        <f t="shared" si="30"/>
        <v>2.324183229668927</v>
      </c>
      <c r="AA18" s="58">
        <f t="shared" si="31"/>
        <v>5.823210613938327</v>
      </c>
      <c r="AB18" s="57">
        <f t="shared" si="32"/>
        <v>0.9990273842694007</v>
      </c>
      <c r="AC18" s="57">
        <f t="shared" si="33"/>
        <v>0.1965976457528984</v>
      </c>
      <c r="AD18" s="57">
        <f t="shared" si="34"/>
        <v>2388.5067039450446</v>
      </c>
      <c r="AE18" s="58">
        <f t="shared" si="19"/>
        <v>3003.8636148361256</v>
      </c>
      <c r="AF18" s="49">
        <f t="shared" si="6"/>
        <v>3003.8636148361256</v>
      </c>
      <c r="AH18" s="61">
        <f t="shared" si="7"/>
        <v>13.632829121303633</v>
      </c>
      <c r="AI18" s="62">
        <f t="shared" si="20"/>
        <v>1.4063091578368703</v>
      </c>
      <c r="AK18" s="48">
        <f t="shared" si="21"/>
        <v>-56.76</v>
      </c>
      <c r="AL18" s="50">
        <f t="shared" si="8"/>
        <v>-28.168475999999995</v>
      </c>
      <c r="AM18" s="50">
        <f t="shared" si="22"/>
        <v>0</v>
      </c>
      <c r="AN18" s="50">
        <f t="shared" si="9"/>
        <v>0.04889829916617165</v>
      </c>
      <c r="AO18" s="49">
        <f t="shared" si="10"/>
        <v>0.04889829916617165</v>
      </c>
      <c r="AQ18" s="65">
        <f t="shared" si="11"/>
        <v>400</v>
      </c>
      <c r="AR18" s="50">
        <f t="shared" si="12"/>
        <v>1255.8666666666668</v>
      </c>
      <c r="AS18" s="49">
        <f t="shared" si="23"/>
        <v>401.4104457615207</v>
      </c>
      <c r="AU18" s="67">
        <f t="shared" si="24"/>
        <v>1</v>
      </c>
    </row>
    <row r="19" spans="2:47" ht="12.75">
      <c r="B19" s="48">
        <f t="shared" si="13"/>
        <v>0.15909090909090912</v>
      </c>
      <c r="C19" s="2">
        <v>400</v>
      </c>
      <c r="D19" s="2">
        <v>3550</v>
      </c>
      <c r="E19" s="49">
        <f t="shared" si="25"/>
        <v>75.59999999999998</v>
      </c>
      <c r="G19" s="48">
        <v>-259.054</v>
      </c>
      <c r="H19" s="50">
        <v>-259.054</v>
      </c>
      <c r="I19" s="49">
        <f t="shared" si="0"/>
        <v>62.38636363636363</v>
      </c>
      <c r="K19" s="48">
        <f t="shared" si="14"/>
        <v>840</v>
      </c>
      <c r="L19" s="50">
        <f t="shared" si="26"/>
        <v>840000</v>
      </c>
      <c r="M19" s="50">
        <f t="shared" si="1"/>
        <v>3550</v>
      </c>
      <c r="N19" s="50">
        <f t="shared" si="2"/>
        <v>400</v>
      </c>
      <c r="O19" s="55">
        <f t="shared" si="3"/>
        <v>3150</v>
      </c>
      <c r="P19" s="2"/>
      <c r="Q19" s="48">
        <f t="shared" si="15"/>
        <v>3150</v>
      </c>
      <c r="R19" s="50">
        <f t="shared" si="4"/>
        <v>3550</v>
      </c>
      <c r="S19" s="50">
        <f t="shared" si="16"/>
        <v>0.0005</v>
      </c>
      <c r="T19" s="57">
        <f t="shared" si="17"/>
        <v>4758162.515758119</v>
      </c>
      <c r="U19" s="57">
        <f t="shared" si="5"/>
        <v>-47905372.75805066</v>
      </c>
      <c r="V19" s="57">
        <f t="shared" si="27"/>
        <v>0.3996109537077603</v>
      </c>
      <c r="W19" s="57">
        <f t="shared" si="28"/>
        <v>0.6668868096260981</v>
      </c>
      <c r="X19" s="57">
        <f t="shared" si="29"/>
        <v>0.26727585591833786</v>
      </c>
      <c r="Y19" s="57">
        <f t="shared" si="18"/>
        <v>7906.139966112857</v>
      </c>
      <c r="Z19" s="57">
        <f t="shared" si="30"/>
        <v>0.9990273842694007</v>
      </c>
      <c r="AA19" s="58">
        <f t="shared" si="31"/>
        <v>4.167217024065245</v>
      </c>
      <c r="AB19" s="57">
        <f t="shared" si="32"/>
        <v>0.6681896397958447</v>
      </c>
      <c r="AC19" s="57">
        <f t="shared" si="33"/>
        <v>0.16827537457861563</v>
      </c>
      <c r="AD19" s="57">
        <f t="shared" si="34"/>
        <v>2591.995596790146</v>
      </c>
      <c r="AE19" s="58">
        <f t="shared" si="19"/>
        <v>3130.031941809298</v>
      </c>
      <c r="AF19" s="49">
        <f t="shared" si="6"/>
        <v>3130.031941809298</v>
      </c>
      <c r="AH19" s="61">
        <f t="shared" si="7"/>
        <v>7.604027421912803</v>
      </c>
      <c r="AI19" s="62">
        <f t="shared" si="20"/>
        <v>0.7552638913901776</v>
      </c>
      <c r="AK19" s="48">
        <f t="shared" si="21"/>
        <v>-57.6</v>
      </c>
      <c r="AL19" s="50">
        <f t="shared" si="8"/>
        <v>-28.876371999999996</v>
      </c>
      <c r="AM19" s="50">
        <f t="shared" si="22"/>
        <v>0</v>
      </c>
      <c r="AN19" s="50">
        <f t="shared" si="9"/>
        <v>0.046132525837091036</v>
      </c>
      <c r="AO19" s="49">
        <f t="shared" si="10"/>
        <v>0.046132525837091036</v>
      </c>
      <c r="AQ19" s="65">
        <f t="shared" si="11"/>
        <v>400</v>
      </c>
      <c r="AR19" s="50">
        <f t="shared" si="12"/>
        <v>1275.318181818182</v>
      </c>
      <c r="AS19" s="49">
        <f t="shared" si="23"/>
        <v>400.3699133204217</v>
      </c>
      <c r="AU19" s="67">
        <f t="shared" si="24"/>
        <v>1</v>
      </c>
    </row>
    <row r="20" spans="2:47" ht="12.75">
      <c r="B20" s="48">
        <f t="shared" si="13"/>
        <v>0.18181818181818185</v>
      </c>
      <c r="C20" s="2">
        <v>400</v>
      </c>
      <c r="D20" s="2">
        <v>3600</v>
      </c>
      <c r="E20" s="49">
        <f t="shared" si="25"/>
        <v>76.39999999999998</v>
      </c>
      <c r="G20" s="48">
        <v>-223.468</v>
      </c>
      <c r="H20" s="50">
        <v>-223.468</v>
      </c>
      <c r="I20" s="49">
        <f t="shared" si="0"/>
        <v>61.06060606060606</v>
      </c>
      <c r="K20" s="48">
        <f t="shared" si="14"/>
        <v>960</v>
      </c>
      <c r="L20" s="50">
        <f t="shared" si="26"/>
        <v>960000</v>
      </c>
      <c r="M20" s="50">
        <f t="shared" si="1"/>
        <v>3600</v>
      </c>
      <c r="N20" s="50">
        <f t="shared" si="2"/>
        <v>400</v>
      </c>
      <c r="O20" s="55">
        <f t="shared" si="3"/>
        <v>3200</v>
      </c>
      <c r="P20" s="2"/>
      <c r="Q20" s="48">
        <f t="shared" si="15"/>
        <v>3200</v>
      </c>
      <c r="R20" s="50">
        <f t="shared" si="4"/>
        <v>3600</v>
      </c>
      <c r="S20" s="50">
        <f t="shared" si="16"/>
        <v>0.000375</v>
      </c>
      <c r="T20" s="57">
        <f t="shared" si="17"/>
        <v>2811425.210183852</v>
      </c>
      <c r="U20" s="57">
        <f t="shared" si="5"/>
        <v>-29070073.74643064</v>
      </c>
      <c r="V20" s="57">
        <f t="shared" si="27"/>
        <v>0.26727585591833786</v>
      </c>
      <c r="W20" s="57">
        <f t="shared" si="28"/>
        <v>0.45288842977239047</v>
      </c>
      <c r="X20" s="57">
        <f t="shared" si="29"/>
        <v>0.1856125738540526</v>
      </c>
      <c r="Y20" s="57">
        <f t="shared" si="18"/>
        <v>8017.759590116506</v>
      </c>
      <c r="Z20" s="57">
        <f t="shared" si="30"/>
        <v>0.6681896397958447</v>
      </c>
      <c r="AA20" s="58">
        <f t="shared" si="31"/>
        <v>3.6322210744309764</v>
      </c>
      <c r="AB20" s="57">
        <f t="shared" si="32"/>
        <v>0.4640314346351315</v>
      </c>
      <c r="AC20" s="57">
        <f t="shared" si="33"/>
        <v>0.13183530640670504</v>
      </c>
      <c r="AD20" s="57">
        <f t="shared" si="34"/>
        <v>2769.974497179031</v>
      </c>
      <c r="AE20" s="58">
        <f t="shared" si="19"/>
        <v>3197.35639493579</v>
      </c>
      <c r="AF20" s="49">
        <f t="shared" si="6"/>
        <v>3197.35639493579</v>
      </c>
      <c r="AH20" s="61">
        <f t="shared" si="7"/>
        <v>3.4066492671598407</v>
      </c>
      <c r="AI20" s="62">
        <f t="shared" si="20"/>
        <v>0.3294638918184202</v>
      </c>
      <c r="AK20" s="48">
        <f t="shared" si="21"/>
        <v>-58.2</v>
      </c>
      <c r="AL20" s="50">
        <f t="shared" si="8"/>
        <v>-29.445867999999994</v>
      </c>
      <c r="AM20" s="50">
        <f t="shared" si="22"/>
        <v>0</v>
      </c>
      <c r="AN20" s="50">
        <f t="shared" si="9"/>
        <v>0.044253276769367134</v>
      </c>
      <c r="AO20" s="49">
        <f t="shared" si="10"/>
        <v>0.044253276769367134</v>
      </c>
      <c r="AQ20" s="65">
        <f t="shared" si="11"/>
        <v>400</v>
      </c>
      <c r="AR20" s="50">
        <f t="shared" si="12"/>
        <v>1289.2121212121212</v>
      </c>
      <c r="AS20" s="49">
        <f t="shared" si="23"/>
        <v>400.04897345139153</v>
      </c>
      <c r="AU20" s="67">
        <f t="shared" si="24"/>
        <v>1</v>
      </c>
    </row>
    <row r="21" spans="2:47" ht="12.75">
      <c r="B21" s="48">
        <f t="shared" si="13"/>
        <v>0.20454545454545459</v>
      </c>
      <c r="C21" s="2">
        <v>400</v>
      </c>
      <c r="D21" s="2">
        <v>3640</v>
      </c>
      <c r="E21" s="49">
        <f t="shared" si="25"/>
        <v>77.19999999999997</v>
      </c>
      <c r="G21" s="48">
        <v>-156.348</v>
      </c>
      <c r="H21" s="50">
        <v>-156.348</v>
      </c>
      <c r="I21" s="49">
        <f t="shared" si="0"/>
        <v>59.734848484848484</v>
      </c>
      <c r="K21" s="48">
        <f t="shared" si="14"/>
        <v>1080</v>
      </c>
      <c r="L21" s="50">
        <f t="shared" si="26"/>
        <v>1080000</v>
      </c>
      <c r="M21" s="50">
        <f t="shared" si="1"/>
        <v>3640</v>
      </c>
      <c r="N21" s="50">
        <f t="shared" si="2"/>
        <v>400</v>
      </c>
      <c r="O21" s="55">
        <f t="shared" si="3"/>
        <v>3240</v>
      </c>
      <c r="P21" s="2"/>
      <c r="Q21" s="48">
        <f t="shared" si="15"/>
        <v>3240</v>
      </c>
      <c r="R21" s="50">
        <f t="shared" si="4"/>
        <v>3640</v>
      </c>
      <c r="S21" s="50">
        <f t="shared" si="16"/>
        <v>0.0003333333333333333</v>
      </c>
      <c r="T21" s="57">
        <f t="shared" si="17"/>
        <v>2309224.1372694573</v>
      </c>
      <c r="U21" s="57">
        <f t="shared" si="5"/>
        <v>-24386347.523536514</v>
      </c>
      <c r="V21" s="57">
        <f t="shared" si="27"/>
        <v>0.1856125738540526</v>
      </c>
      <c r="W21" s="57">
        <f t="shared" si="28"/>
        <v>0.32082126743036526</v>
      </c>
      <c r="X21" s="57">
        <f t="shared" si="29"/>
        <v>0.13520869357631268</v>
      </c>
      <c r="Y21" s="57">
        <f t="shared" si="18"/>
        <v>8111.585262242037</v>
      </c>
      <c r="Z21" s="57">
        <f t="shared" si="30"/>
        <v>0.4640314346351315</v>
      </c>
      <c r="AA21" s="58">
        <f t="shared" si="31"/>
        <v>3.302053168575913</v>
      </c>
      <c r="AB21" s="57">
        <f t="shared" si="32"/>
        <v>0.3380217339407817</v>
      </c>
      <c r="AC21" s="57">
        <f t="shared" si="33"/>
        <v>0.10429944975347226</v>
      </c>
      <c r="AD21" s="57">
        <f t="shared" si="34"/>
        <v>2899.5050475180396</v>
      </c>
      <c r="AE21" s="58">
        <f t="shared" si="19"/>
        <v>3241.7863575809347</v>
      </c>
      <c r="AF21" s="49">
        <f t="shared" si="6"/>
        <v>3241.7863575809347</v>
      </c>
      <c r="AH21" s="61">
        <f t="shared" si="7"/>
        <v>2.508883490075773</v>
      </c>
      <c r="AI21" s="62">
        <f t="shared" si="20"/>
        <v>0.23757449971907998</v>
      </c>
      <c r="AK21" s="48">
        <f t="shared" si="21"/>
        <v>-58.68</v>
      </c>
      <c r="AL21" s="50">
        <f t="shared" si="8"/>
        <v>-29.946163999999996</v>
      </c>
      <c r="AM21" s="50">
        <f t="shared" si="22"/>
        <v>0</v>
      </c>
      <c r="AN21" s="50">
        <f t="shared" si="9"/>
        <v>0.042805147126862925</v>
      </c>
      <c r="AO21" s="49">
        <f t="shared" si="10"/>
        <v>0.042805147126862925</v>
      </c>
      <c r="AQ21" s="65">
        <f t="shared" si="11"/>
        <v>400</v>
      </c>
      <c r="AR21" s="50">
        <f t="shared" si="12"/>
        <v>1300.3272727272729</v>
      </c>
      <c r="AS21" s="49">
        <f t="shared" si="23"/>
        <v>399.9669072747128</v>
      </c>
      <c r="AU21" s="67">
        <f t="shared" si="24"/>
        <v>1</v>
      </c>
    </row>
    <row r="22" spans="2:47" ht="12.75">
      <c r="B22" s="48">
        <f t="shared" si="13"/>
        <v>0.22727272727272732</v>
      </c>
      <c r="C22" s="2">
        <v>400</v>
      </c>
      <c r="D22" s="2">
        <v>3680</v>
      </c>
      <c r="E22" s="49">
        <f t="shared" si="25"/>
        <v>77.99999999999997</v>
      </c>
      <c r="G22" s="48">
        <v>-69.5695</v>
      </c>
      <c r="H22" s="50">
        <v>-69.5695</v>
      </c>
      <c r="I22" s="49">
        <f t="shared" si="0"/>
        <v>58.40909090909091</v>
      </c>
      <c r="K22" s="48">
        <f t="shared" si="14"/>
        <v>1200</v>
      </c>
      <c r="L22" s="50">
        <f t="shared" si="26"/>
        <v>1200000</v>
      </c>
      <c r="M22" s="50">
        <f t="shared" si="1"/>
        <v>3680</v>
      </c>
      <c r="N22" s="50">
        <f t="shared" si="2"/>
        <v>400</v>
      </c>
      <c r="O22" s="55">
        <f t="shared" si="3"/>
        <v>3280</v>
      </c>
      <c r="P22" s="2"/>
      <c r="Q22" s="48">
        <f t="shared" si="15"/>
        <v>3280</v>
      </c>
      <c r="R22" s="50">
        <f t="shared" si="4"/>
        <v>3680</v>
      </c>
      <c r="S22" s="50">
        <f t="shared" si="16"/>
        <v>0.00025</v>
      </c>
      <c r="T22" s="57">
        <f t="shared" si="17"/>
        <v>1349644.8427446513</v>
      </c>
      <c r="U22" s="57">
        <f t="shared" si="5"/>
        <v>-14553756.226441532</v>
      </c>
      <c r="V22" s="57">
        <f t="shared" si="27"/>
        <v>0.13520869357631268</v>
      </c>
      <c r="W22" s="57">
        <f t="shared" si="28"/>
        <v>0.1969255411133928</v>
      </c>
      <c r="X22" s="57">
        <f t="shared" si="29"/>
        <v>0.06171684753708016</v>
      </c>
      <c r="Y22" s="57">
        <f t="shared" si="18"/>
        <v>8229.971109193028</v>
      </c>
      <c r="Z22" s="57">
        <f t="shared" si="30"/>
        <v>0.3380217339407817</v>
      </c>
      <c r="AA22" s="58">
        <f t="shared" si="31"/>
        <v>2.992313852783482</v>
      </c>
      <c r="AB22" s="57">
        <f t="shared" si="32"/>
        <v>0.15429211884270042</v>
      </c>
      <c r="AC22" s="57">
        <f t="shared" si="33"/>
        <v>0.05217756954255295</v>
      </c>
      <c r="AD22" s="57">
        <f t="shared" si="34"/>
        <v>3114.604337998864</v>
      </c>
      <c r="AE22" s="58">
        <f t="shared" si="19"/>
        <v>3281.7173136764322</v>
      </c>
      <c r="AF22" s="49">
        <f t="shared" si="6"/>
        <v>3281.7173136764322</v>
      </c>
      <c r="AH22" s="61">
        <f t="shared" si="7"/>
        <v>1.1092802001860924</v>
      </c>
      <c r="AI22" s="62">
        <f t="shared" si="20"/>
        <v>0.10286927155065939</v>
      </c>
      <c r="AK22" s="48">
        <f t="shared" si="21"/>
        <v>-59.160000000000004</v>
      </c>
      <c r="AL22" s="50">
        <f t="shared" si="8"/>
        <v>-30.44645999999999</v>
      </c>
      <c r="AM22" s="50">
        <f t="shared" si="22"/>
        <v>0</v>
      </c>
      <c r="AN22" s="50">
        <f t="shared" si="9"/>
        <v>0.04140440560145633</v>
      </c>
      <c r="AO22" s="49">
        <f t="shared" si="10"/>
        <v>0.04140440560145633</v>
      </c>
      <c r="AQ22" s="65">
        <f t="shared" si="11"/>
        <v>400</v>
      </c>
      <c r="AR22" s="50">
        <f t="shared" si="12"/>
        <v>1311.4424242424243</v>
      </c>
      <c r="AS22" s="49">
        <f t="shared" si="23"/>
        <v>399.968186330479</v>
      </c>
      <c r="AU22" s="67">
        <f t="shared" si="24"/>
        <v>1</v>
      </c>
    </row>
    <row r="23" spans="2:47" ht="12.75">
      <c r="B23" s="48">
        <f t="shared" si="13"/>
        <v>0.25000000000000006</v>
      </c>
      <c r="C23" s="2">
        <v>500</v>
      </c>
      <c r="D23" s="2">
        <v>3700</v>
      </c>
      <c r="E23" s="49">
        <f t="shared" si="25"/>
        <v>78.79999999999997</v>
      </c>
      <c r="G23" s="48">
        <v>654.747</v>
      </c>
      <c r="H23" s="50">
        <v>962.503</v>
      </c>
      <c r="I23" s="49">
        <f t="shared" si="0"/>
        <v>57.08333333333333</v>
      </c>
      <c r="K23" s="48">
        <f t="shared" si="14"/>
        <v>1320</v>
      </c>
      <c r="L23" s="50">
        <f t="shared" si="26"/>
        <v>1320000</v>
      </c>
      <c r="M23" s="50">
        <f t="shared" si="1"/>
        <v>3700</v>
      </c>
      <c r="N23" s="50">
        <f t="shared" si="2"/>
        <v>500</v>
      </c>
      <c r="O23" s="55">
        <f t="shared" si="3"/>
        <v>3200</v>
      </c>
      <c r="P23" s="2"/>
      <c r="Q23" s="48">
        <f t="shared" si="15"/>
        <v>3200</v>
      </c>
      <c r="R23" s="50">
        <f t="shared" si="4"/>
        <v>3700</v>
      </c>
      <c r="S23" s="50">
        <f t="shared" si="16"/>
        <v>0.000125</v>
      </c>
      <c r="T23" s="57">
        <f t="shared" si="17"/>
        <v>303068.24909902416</v>
      </c>
      <c r="U23" s="57">
        <f t="shared" si="5"/>
        <v>-3220695.8642375562</v>
      </c>
      <c r="V23" s="57">
        <f t="shared" si="27"/>
        <v>0.06171684753708016</v>
      </c>
      <c r="W23" s="57">
        <f t="shared" si="28"/>
        <v>0.0787669630206998</v>
      </c>
      <c r="X23" s="57">
        <f t="shared" si="29"/>
        <v>0.017050115483619625</v>
      </c>
      <c r="Y23" s="57">
        <f t="shared" si="18"/>
        <v>7990.048276695255</v>
      </c>
      <c r="Z23" s="57">
        <f t="shared" si="30"/>
        <v>0.15429211884270042</v>
      </c>
      <c r="AA23" s="58">
        <f t="shared" si="31"/>
        <v>2.6969174075517492</v>
      </c>
      <c r="AB23" s="57">
        <f t="shared" si="32"/>
        <v>0.04262528870904906</v>
      </c>
      <c r="AC23" s="57">
        <f t="shared" si="33"/>
        <v>0.015852510208133986</v>
      </c>
      <c r="AD23" s="57">
        <f t="shared" si="34"/>
        <v>3150.2516662466287</v>
      </c>
      <c r="AE23" s="58">
        <f t="shared" si="19"/>
        <v>3202.774240783301</v>
      </c>
      <c r="AF23" s="49">
        <f t="shared" si="6"/>
        <v>3202.774240783301</v>
      </c>
      <c r="AH23" s="61">
        <f t="shared" si="7"/>
        <v>0.12580843219677953</v>
      </c>
      <c r="AI23" s="62">
        <f t="shared" si="20"/>
        <v>0.011838603480430632</v>
      </c>
      <c r="AK23" s="48">
        <f t="shared" si="21"/>
        <v>-59.4</v>
      </c>
      <c r="AL23" s="50">
        <f t="shared" si="8"/>
        <v>-30.808355999999993</v>
      </c>
      <c r="AM23" s="50">
        <f t="shared" si="22"/>
        <v>0</v>
      </c>
      <c r="AN23" s="50">
        <f t="shared" si="9"/>
        <v>0.040721318782856314</v>
      </c>
      <c r="AO23" s="49">
        <f t="shared" si="10"/>
        <v>0.040721318782856314</v>
      </c>
      <c r="AQ23" s="65">
        <f t="shared" si="11"/>
        <v>500</v>
      </c>
      <c r="AR23" s="50">
        <f t="shared" si="12"/>
        <v>1389.2121212121212</v>
      </c>
      <c r="AS23" s="49">
        <f t="shared" si="23"/>
        <v>499.9486064889235</v>
      </c>
      <c r="AU23" s="67">
        <f t="shared" si="24"/>
        <v>1</v>
      </c>
    </row>
    <row r="24" spans="2:47" ht="12.75">
      <c r="B24" s="48">
        <f t="shared" si="13"/>
        <v>0.27272727272727276</v>
      </c>
      <c r="C24" s="2">
        <v>400</v>
      </c>
      <c r="D24" s="2">
        <v>3710</v>
      </c>
      <c r="E24" s="49">
        <f t="shared" si="25"/>
        <v>79.59999999999997</v>
      </c>
      <c r="G24" s="48">
        <v>727.329</v>
      </c>
      <c r="H24" s="50">
        <v>1697.24</v>
      </c>
      <c r="I24" s="49">
        <f t="shared" si="0"/>
        <v>55.75757575757576</v>
      </c>
      <c r="K24" s="48">
        <f t="shared" si="14"/>
        <v>1440</v>
      </c>
      <c r="L24" s="50">
        <f t="shared" si="26"/>
        <v>1440000</v>
      </c>
      <c r="M24" s="50">
        <f t="shared" si="1"/>
        <v>3710</v>
      </c>
      <c r="N24" s="50">
        <f t="shared" si="2"/>
        <v>400</v>
      </c>
      <c r="O24" s="55">
        <f t="shared" si="3"/>
        <v>3310</v>
      </c>
      <c r="P24" s="2"/>
      <c r="Q24" s="48">
        <f t="shared" si="15"/>
        <v>3310</v>
      </c>
      <c r="R24" s="50">
        <f t="shared" si="4"/>
        <v>3710</v>
      </c>
      <c r="S24" s="50">
        <f t="shared" si="16"/>
        <v>8.333333333333333E-05</v>
      </c>
      <c r="T24" s="57">
        <f t="shared" si="17"/>
        <v>154281.238644311</v>
      </c>
      <c r="U24" s="57">
        <f t="shared" si="5"/>
        <v>-1689737.3950448956</v>
      </c>
      <c r="V24" s="57">
        <f t="shared" si="27"/>
        <v>0.017050115483619625</v>
      </c>
      <c r="W24" s="57">
        <f t="shared" si="28"/>
        <v>0.028870490759384273</v>
      </c>
      <c r="X24" s="57">
        <f t="shared" si="29"/>
        <v>0.011820375275764648</v>
      </c>
      <c r="Y24" s="57">
        <f t="shared" si="18"/>
        <v>8287.417777600958</v>
      </c>
      <c r="Z24" s="57">
        <f t="shared" si="30"/>
        <v>0.04262528870904906</v>
      </c>
      <c r="AA24" s="58">
        <f t="shared" si="31"/>
        <v>2.5721762268984607</v>
      </c>
      <c r="AB24" s="57">
        <f t="shared" si="32"/>
        <v>0.02955093818941162</v>
      </c>
      <c r="AC24" s="57">
        <f t="shared" si="33"/>
        <v>0.011491710028885849</v>
      </c>
      <c r="AD24" s="57">
        <f t="shared" si="34"/>
        <v>3275.013220749195</v>
      </c>
      <c r="AE24" s="58">
        <f t="shared" si="19"/>
        <v>3313.202379123711</v>
      </c>
      <c r="AF24" s="49">
        <f t="shared" si="6"/>
        <v>3313.202379123711</v>
      </c>
      <c r="AH24" s="61">
        <f t="shared" si="7"/>
        <v>0.042541223440203814</v>
      </c>
      <c r="AI24" s="62">
        <f t="shared" si="20"/>
        <v>0.003884220509675503</v>
      </c>
      <c r="AK24" s="48">
        <f t="shared" si="21"/>
        <v>-59.52</v>
      </c>
      <c r="AL24" s="50">
        <f t="shared" si="8"/>
        <v>-31.101051999999992</v>
      </c>
      <c r="AM24" s="50">
        <f t="shared" si="22"/>
        <v>0</v>
      </c>
      <c r="AN24" s="50">
        <f t="shared" si="9"/>
        <v>0.04038401313468612</v>
      </c>
      <c r="AO24" s="49">
        <f t="shared" si="10"/>
        <v>0.04038401313468612</v>
      </c>
      <c r="AQ24" s="65">
        <f t="shared" si="11"/>
        <v>400</v>
      </c>
      <c r="AR24" s="50">
        <f t="shared" si="12"/>
        <v>1319.7787878787879</v>
      </c>
      <c r="AS24" s="49">
        <f t="shared" si="23"/>
        <v>399.9406751180517</v>
      </c>
      <c r="AU24" s="67">
        <f t="shared" si="24"/>
        <v>1</v>
      </c>
    </row>
    <row r="25" spans="2:47" ht="12.75">
      <c r="B25" s="48">
        <f t="shared" si="13"/>
        <v>0.29545454545454547</v>
      </c>
      <c r="C25" s="2">
        <v>400</v>
      </c>
      <c r="D25" s="2">
        <v>3720</v>
      </c>
      <c r="E25" s="49">
        <f t="shared" si="25"/>
        <v>80.39999999999996</v>
      </c>
      <c r="G25" s="48">
        <v>718.217</v>
      </c>
      <c r="H25" s="50">
        <v>1963.24</v>
      </c>
      <c r="I25" s="49">
        <f t="shared" si="0"/>
        <v>54.43181818181818</v>
      </c>
      <c r="K25" s="48">
        <f t="shared" si="14"/>
        <v>1560</v>
      </c>
      <c r="L25" s="50">
        <f t="shared" si="26"/>
        <v>1560000</v>
      </c>
      <c r="M25" s="50">
        <f t="shared" si="1"/>
        <v>3720</v>
      </c>
      <c r="N25" s="50">
        <f t="shared" si="2"/>
        <v>400</v>
      </c>
      <c r="O25" s="55">
        <f t="shared" si="3"/>
        <v>3320</v>
      </c>
      <c r="P25" s="2"/>
      <c r="Q25" s="48">
        <f t="shared" si="15"/>
        <v>3320</v>
      </c>
      <c r="R25" s="50">
        <f t="shared" si="4"/>
        <v>3720</v>
      </c>
      <c r="S25" s="50">
        <f t="shared" si="16"/>
        <v>8.333333333333333E-05</v>
      </c>
      <c r="T25" s="57">
        <f t="shared" si="17"/>
        <v>155739.75593974467</v>
      </c>
      <c r="U25" s="57">
        <f t="shared" si="5"/>
        <v>-1714530.6843753231</v>
      </c>
      <c r="V25" s="57">
        <f t="shared" si="27"/>
        <v>0.011820375275764648</v>
      </c>
      <c r="W25" s="57">
        <f t="shared" si="28"/>
        <v>0.020698159053461118</v>
      </c>
      <c r="X25" s="57">
        <f t="shared" si="29"/>
        <v>0.008877783777696468</v>
      </c>
      <c r="Y25" s="57">
        <f t="shared" si="18"/>
        <v>8310.273485112899</v>
      </c>
      <c r="Z25" s="57">
        <f t="shared" si="30"/>
        <v>0.02955093818941162</v>
      </c>
      <c r="AA25" s="58">
        <f t="shared" si="31"/>
        <v>2.551745397633653</v>
      </c>
      <c r="AB25" s="57">
        <f t="shared" si="32"/>
        <v>0.02219445944424117</v>
      </c>
      <c r="AC25" s="57">
        <f t="shared" si="33"/>
        <v>0.008698913902644087</v>
      </c>
      <c r="AD25" s="57">
        <f t="shared" si="34"/>
        <v>3295.0670473091523</v>
      </c>
      <c r="AE25" s="58">
        <f t="shared" si="19"/>
        <v>3323.191959988786</v>
      </c>
      <c r="AF25" s="49">
        <f t="shared" si="6"/>
        <v>3323.191959988786</v>
      </c>
      <c r="AH25" s="61">
        <f t="shared" si="7"/>
        <v>0.04303540874436052</v>
      </c>
      <c r="AI25" s="62">
        <f t="shared" si="20"/>
        <v>0.003909130420174314</v>
      </c>
      <c r="AK25" s="48">
        <f t="shared" si="21"/>
        <v>-59.64</v>
      </c>
      <c r="AL25" s="50">
        <f t="shared" si="8"/>
        <v>-31.39374799999999</v>
      </c>
      <c r="AM25" s="50">
        <f t="shared" si="22"/>
        <v>0</v>
      </c>
      <c r="AN25" s="50">
        <f t="shared" si="9"/>
        <v>0.0400495014800232</v>
      </c>
      <c r="AO25" s="49">
        <f t="shared" si="10"/>
        <v>0.0400495014800232</v>
      </c>
      <c r="AQ25" s="65">
        <f t="shared" si="11"/>
        <v>400</v>
      </c>
      <c r="AR25" s="50">
        <f t="shared" si="12"/>
        <v>1322.5575757575757</v>
      </c>
      <c r="AS25" s="49">
        <f t="shared" si="23"/>
        <v>399.94086813515725</v>
      </c>
      <c r="AU25" s="67">
        <f t="shared" si="24"/>
        <v>1</v>
      </c>
    </row>
    <row r="26" spans="2:47" ht="12.75">
      <c r="B26" s="48">
        <f t="shared" si="13"/>
        <v>0.3181818181818182</v>
      </c>
      <c r="C26" s="2">
        <v>500</v>
      </c>
      <c r="D26" s="2">
        <v>3730</v>
      </c>
      <c r="E26" s="49">
        <f t="shared" si="25"/>
        <v>81.19999999999996</v>
      </c>
      <c r="G26" s="48">
        <v>621.243</v>
      </c>
      <c r="H26" s="50">
        <v>2222.07</v>
      </c>
      <c r="I26" s="49">
        <f t="shared" si="0"/>
        <v>53.10606060606061</v>
      </c>
      <c r="K26" s="48">
        <f t="shared" si="14"/>
        <v>1680</v>
      </c>
      <c r="L26" s="50">
        <f t="shared" si="26"/>
        <v>1680000</v>
      </c>
      <c r="M26" s="50">
        <f t="shared" si="1"/>
        <v>3730</v>
      </c>
      <c r="N26" s="50">
        <f t="shared" si="2"/>
        <v>500</v>
      </c>
      <c r="O26" s="55">
        <f t="shared" si="3"/>
        <v>3230</v>
      </c>
      <c r="P26" s="2"/>
      <c r="Q26" s="48">
        <f t="shared" si="15"/>
        <v>3230</v>
      </c>
      <c r="R26" s="50">
        <f t="shared" si="4"/>
        <v>3730</v>
      </c>
      <c r="S26" s="50">
        <f t="shared" si="16"/>
        <v>6.25E-05</v>
      </c>
      <c r="T26" s="57">
        <f t="shared" si="17"/>
        <v>78026.07256220978</v>
      </c>
      <c r="U26" s="57">
        <f t="shared" si="5"/>
        <v>-842271.0436012596</v>
      </c>
      <c r="V26" s="57">
        <f t="shared" si="27"/>
        <v>0.008877783777696468</v>
      </c>
      <c r="W26" s="57">
        <f t="shared" si="28"/>
        <v>0.012924570724987173</v>
      </c>
      <c r="X26" s="57">
        <f t="shared" si="29"/>
        <v>0.004046786947290704</v>
      </c>
      <c r="Y26" s="57">
        <f t="shared" si="18"/>
        <v>8081.838618782052</v>
      </c>
      <c r="Z26" s="57">
        <f t="shared" si="30"/>
        <v>0.02219445944424117</v>
      </c>
      <c r="AA26" s="58">
        <f t="shared" si="31"/>
        <v>2.532311426812468</v>
      </c>
      <c r="AB26" s="57">
        <f t="shared" si="32"/>
        <v>0.01011696736822676</v>
      </c>
      <c r="AC26" s="57">
        <f t="shared" si="33"/>
        <v>0.003995455951648397</v>
      </c>
      <c r="AD26" s="57">
        <f t="shared" si="34"/>
        <v>3220.6120307747647</v>
      </c>
      <c r="AE26" s="58">
        <f t="shared" si="19"/>
        <v>3233.1522066317966</v>
      </c>
      <c r="AF26" s="49">
        <f t="shared" si="6"/>
        <v>3233.1522066317966</v>
      </c>
      <c r="AH26" s="61">
        <f t="shared" si="7"/>
        <v>0.016297814311169886</v>
      </c>
      <c r="AI26" s="62">
        <f t="shared" si="20"/>
        <v>0.0015097924257393533</v>
      </c>
      <c r="AK26" s="48">
        <f t="shared" si="21"/>
        <v>-59.76</v>
      </c>
      <c r="AL26" s="50">
        <f t="shared" si="8"/>
        <v>-31.68644399999999</v>
      </c>
      <c r="AM26" s="50">
        <f t="shared" si="22"/>
        <v>0</v>
      </c>
      <c r="AN26" s="50">
        <f t="shared" si="9"/>
        <v>0.03971776067546705</v>
      </c>
      <c r="AO26" s="49">
        <f t="shared" si="10"/>
        <v>0.03971776067546705</v>
      </c>
      <c r="AQ26" s="65">
        <f t="shared" si="11"/>
        <v>500</v>
      </c>
      <c r="AR26" s="50">
        <f t="shared" si="12"/>
        <v>1397.5484848484848</v>
      </c>
      <c r="AS26" s="49">
        <f t="shared" si="23"/>
        <v>499.9416045761342</v>
      </c>
      <c r="AU26" s="67">
        <f t="shared" si="24"/>
        <v>1</v>
      </c>
    </row>
    <row r="27" spans="2:47" ht="12.75">
      <c r="B27" s="48">
        <f t="shared" si="13"/>
        <v>0.3409090909090909</v>
      </c>
      <c r="C27" s="2">
        <v>600</v>
      </c>
      <c r="D27" s="2">
        <v>3735</v>
      </c>
      <c r="E27" s="49">
        <f t="shared" si="25"/>
        <v>81.99999999999996</v>
      </c>
      <c r="G27" s="48">
        <v>552.613</v>
      </c>
      <c r="H27" s="50">
        <v>2486.46</v>
      </c>
      <c r="I27" s="49">
        <f t="shared" si="0"/>
        <v>51.78030303030303</v>
      </c>
      <c r="K27" s="48">
        <f t="shared" si="14"/>
        <v>1800</v>
      </c>
      <c r="L27" s="50">
        <f t="shared" si="26"/>
        <v>1800000</v>
      </c>
      <c r="M27" s="50">
        <f t="shared" si="1"/>
        <v>3735</v>
      </c>
      <c r="N27" s="50">
        <f t="shared" si="2"/>
        <v>600</v>
      </c>
      <c r="O27" s="55">
        <f t="shared" si="3"/>
        <v>3135</v>
      </c>
      <c r="P27" s="2"/>
      <c r="Q27" s="48">
        <f t="shared" si="15"/>
        <v>3135</v>
      </c>
      <c r="R27" s="50">
        <f t="shared" si="4"/>
        <v>3735</v>
      </c>
      <c r="S27" s="50">
        <f t="shared" si="16"/>
        <v>4.1666666666666665E-05</v>
      </c>
      <c r="T27" s="57">
        <f t="shared" si="17"/>
        <v>30636.700126725256</v>
      </c>
      <c r="U27" s="57">
        <f t="shared" si="5"/>
        <v>-323203.5972184633</v>
      </c>
      <c r="V27" s="57">
        <f t="shared" si="27"/>
        <v>0.004046786947290704</v>
      </c>
      <c r="W27" s="57">
        <f t="shared" si="28"/>
        <v>0.04592448506087617</v>
      </c>
      <c r="X27" s="57">
        <f t="shared" si="29"/>
        <v>0.041877698113585465</v>
      </c>
      <c r="Y27" s="57">
        <f t="shared" si="18"/>
        <v>7854.584580390252</v>
      </c>
      <c r="Z27" s="57">
        <f t="shared" si="30"/>
        <v>0.01011696736822676</v>
      </c>
      <c r="AA27" s="58">
        <f t="shared" si="31"/>
        <v>2.6148112126521905</v>
      </c>
      <c r="AB27" s="57">
        <f t="shared" si="32"/>
        <v>0.10469424528396366</v>
      </c>
      <c r="AC27" s="57">
        <f t="shared" si="33"/>
        <v>0.04003954979692333</v>
      </c>
      <c r="AD27" s="57">
        <f t="shared" si="34"/>
        <v>3016.389595255816</v>
      </c>
      <c r="AE27" s="58">
        <f t="shared" si="19"/>
        <v>3138.609462546697</v>
      </c>
      <c r="AF27" s="49">
        <f t="shared" si="6"/>
        <v>3138.609462546697</v>
      </c>
      <c r="AH27" s="61">
        <f t="shared" si="7"/>
        <v>0.004295635263403287</v>
      </c>
      <c r="AI27" s="62">
        <f t="shared" si="20"/>
        <v>0.0004071863387390385</v>
      </c>
      <c r="AK27" s="48">
        <f t="shared" si="21"/>
        <v>-59.82</v>
      </c>
      <c r="AL27" s="50">
        <f t="shared" si="8"/>
        <v>-31.94453999999999</v>
      </c>
      <c r="AM27" s="50">
        <f t="shared" si="22"/>
        <v>0</v>
      </c>
      <c r="AN27" s="50">
        <f t="shared" si="9"/>
        <v>0.03955292216212865</v>
      </c>
      <c r="AO27" s="49">
        <f t="shared" si="10"/>
        <v>0.03955292216212865</v>
      </c>
      <c r="AQ27" s="65">
        <f t="shared" si="11"/>
        <v>600</v>
      </c>
      <c r="AR27" s="50">
        <f t="shared" si="12"/>
        <v>1471.15</v>
      </c>
      <c r="AS27" s="49">
        <f t="shared" si="23"/>
        <v>599.933133794842</v>
      </c>
      <c r="AU27" s="67">
        <f t="shared" si="24"/>
        <v>1</v>
      </c>
    </row>
    <row r="28" spans="2:47" ht="12.75">
      <c r="B28" s="48">
        <f t="shared" si="13"/>
        <v>0.3636363636363636</v>
      </c>
      <c r="C28" s="2">
        <v>700</v>
      </c>
      <c r="D28" s="2">
        <v>3740</v>
      </c>
      <c r="E28" s="49">
        <f t="shared" si="25"/>
        <v>82.79999999999995</v>
      </c>
      <c r="G28" s="48">
        <v>476.599</v>
      </c>
      <c r="H28" s="50">
        <v>2716.23</v>
      </c>
      <c r="I28" s="49">
        <f t="shared" si="0"/>
        <v>50.45454545454545</v>
      </c>
      <c r="K28" s="48">
        <f t="shared" si="14"/>
        <v>1920</v>
      </c>
      <c r="L28" s="50">
        <f t="shared" si="26"/>
        <v>1920000</v>
      </c>
      <c r="M28" s="50">
        <f t="shared" si="1"/>
        <v>3740</v>
      </c>
      <c r="N28" s="50">
        <f t="shared" si="2"/>
        <v>700</v>
      </c>
      <c r="O28" s="55">
        <f t="shared" si="3"/>
        <v>3040</v>
      </c>
      <c r="P28" s="2"/>
      <c r="Q28" s="48">
        <f t="shared" si="15"/>
        <v>3040</v>
      </c>
      <c r="R28" s="50">
        <f t="shared" si="4"/>
        <v>3740</v>
      </c>
      <c r="S28" s="50">
        <f t="shared" si="16"/>
        <v>0.0002708333333333333</v>
      </c>
      <c r="T28" s="57">
        <f t="shared" si="17"/>
        <v>1139373.9402523448</v>
      </c>
      <c r="U28" s="57">
        <f t="shared" si="5"/>
        <v>-11737573.459494151</v>
      </c>
      <c r="V28" s="57">
        <f t="shared" si="27"/>
        <v>0.041877698113585465</v>
      </c>
      <c r="W28" s="57">
        <f t="shared" si="28"/>
        <v>0.41953360924366734</v>
      </c>
      <c r="X28" s="57">
        <f t="shared" si="29"/>
        <v>0.37765591113008184</v>
      </c>
      <c r="Y28" s="57">
        <f t="shared" si="18"/>
        <v>7752.561335324654</v>
      </c>
      <c r="Z28" s="57">
        <f t="shared" si="30"/>
        <v>0.10469424528396366</v>
      </c>
      <c r="AA28" s="58">
        <f t="shared" si="31"/>
        <v>3.5488340231091686</v>
      </c>
      <c r="AB28" s="57">
        <f t="shared" si="32"/>
        <v>0.9441397778252046</v>
      </c>
      <c r="AC28" s="57">
        <f t="shared" si="33"/>
        <v>0.2663568698381938</v>
      </c>
      <c r="AD28" s="57">
        <f t="shared" si="34"/>
        <v>2276.212861846251</v>
      </c>
      <c r="AE28" s="58">
        <f t="shared" si="19"/>
        <v>3052.478559593417</v>
      </c>
      <c r="AF28" s="49">
        <f t="shared" si="6"/>
        <v>3052.478559593417</v>
      </c>
      <c r="AH28" s="61">
        <f t="shared" si="7"/>
        <v>1.045699389894627</v>
      </c>
      <c r="AI28" s="62">
        <f t="shared" si="20"/>
        <v>0.10150672439199893</v>
      </c>
      <c r="AK28" s="48">
        <f t="shared" si="21"/>
        <v>-59.88</v>
      </c>
      <c r="AL28" s="50">
        <f t="shared" si="8"/>
        <v>-32.20263599999999</v>
      </c>
      <c r="AM28" s="50">
        <f t="shared" si="22"/>
        <v>0</v>
      </c>
      <c r="AN28" s="50">
        <f t="shared" si="9"/>
        <v>0.03938876776932009</v>
      </c>
      <c r="AO28" s="49">
        <f t="shared" si="10"/>
        <v>0.03938876776932009</v>
      </c>
      <c r="AQ28" s="65">
        <f t="shared" si="11"/>
        <v>700</v>
      </c>
      <c r="AR28" s="50">
        <f t="shared" si="12"/>
        <v>1544.7515151515152</v>
      </c>
      <c r="AS28" s="49">
        <f t="shared" si="23"/>
        <v>699.7688315323805</v>
      </c>
      <c r="AU28" s="67">
        <f t="shared" si="24"/>
        <v>1</v>
      </c>
    </row>
    <row r="29" spans="2:47" ht="12.75">
      <c r="B29" s="48">
        <f t="shared" si="13"/>
        <v>0.3863636363636363</v>
      </c>
      <c r="C29" s="2">
        <v>900</v>
      </c>
      <c r="D29" s="2">
        <v>3800</v>
      </c>
      <c r="E29" s="49">
        <f t="shared" si="25"/>
        <v>83.59999999999995</v>
      </c>
      <c r="G29" s="48">
        <v>345.435</v>
      </c>
      <c r="H29" s="50">
        <v>2879.01</v>
      </c>
      <c r="I29" s="49">
        <f t="shared" si="0"/>
        <v>49.12878787878788</v>
      </c>
      <c r="K29" s="48">
        <f t="shared" si="14"/>
        <v>2040</v>
      </c>
      <c r="L29" s="50">
        <f t="shared" si="26"/>
        <v>2040000</v>
      </c>
      <c r="M29" s="50">
        <f t="shared" si="1"/>
        <v>3800</v>
      </c>
      <c r="N29" s="50">
        <f t="shared" si="2"/>
        <v>900</v>
      </c>
      <c r="O29" s="55">
        <f t="shared" si="3"/>
        <v>2900</v>
      </c>
      <c r="P29" s="2"/>
      <c r="Q29" s="48">
        <f t="shared" si="15"/>
        <v>2900</v>
      </c>
      <c r="R29" s="50">
        <f t="shared" si="4"/>
        <v>3800</v>
      </c>
      <c r="S29" s="50">
        <f t="shared" si="16"/>
        <v>0.000875</v>
      </c>
      <c r="T29" s="57">
        <f t="shared" si="17"/>
        <v>9636463.790200049</v>
      </c>
      <c r="U29" s="57">
        <f t="shared" si="5"/>
        <v>-97027328.94596942</v>
      </c>
      <c r="V29" s="57">
        <f t="shared" si="27"/>
        <v>0.37765591113008184</v>
      </c>
      <c r="W29" s="57">
        <f t="shared" si="28"/>
        <v>0.9738298253484173</v>
      </c>
      <c r="X29" s="57">
        <f t="shared" si="29"/>
        <v>0.5961739142183355</v>
      </c>
      <c r="Y29" s="57">
        <f t="shared" si="18"/>
        <v>7490.168371610814</v>
      </c>
      <c r="Z29" s="57">
        <f t="shared" si="30"/>
        <v>0.9441397778252046</v>
      </c>
      <c r="AA29" s="58">
        <f t="shared" si="31"/>
        <v>4.934574563371044</v>
      </c>
      <c r="AB29" s="57">
        <f t="shared" si="32"/>
        <v>1.4904347855458389</v>
      </c>
      <c r="AC29" s="57">
        <f t="shared" si="33"/>
        <v>0.318258400668703</v>
      </c>
      <c r="AD29" s="57">
        <f t="shared" si="34"/>
        <v>2058.303002174068</v>
      </c>
      <c r="AE29" s="58">
        <f t="shared" si="19"/>
        <v>2914.3821153129284</v>
      </c>
      <c r="AF29" s="49">
        <f t="shared" si="6"/>
        <v>2914.3821153129284</v>
      </c>
      <c r="AH29" s="61">
        <f t="shared" si="7"/>
        <v>29.27548718197353</v>
      </c>
      <c r="AI29" s="62">
        <f t="shared" si="20"/>
        <v>2.907553729801739</v>
      </c>
      <c r="AK29" s="48">
        <f t="shared" si="21"/>
        <v>-60.6</v>
      </c>
      <c r="AL29" s="50">
        <f t="shared" si="8"/>
        <v>-32.84133199999999</v>
      </c>
      <c r="AM29" s="50">
        <f t="shared" si="22"/>
        <v>0</v>
      </c>
      <c r="AN29" s="50">
        <f t="shared" si="9"/>
        <v>0.03747125466114312</v>
      </c>
      <c r="AO29" s="49">
        <f t="shared" si="10"/>
        <v>0.03747125466114312</v>
      </c>
      <c r="AQ29" s="65">
        <f t="shared" si="11"/>
        <v>900</v>
      </c>
      <c r="AR29" s="50">
        <f t="shared" si="12"/>
        <v>1705.848484848485</v>
      </c>
      <c r="AS29" s="49">
        <f t="shared" si="23"/>
        <v>899.7335676819807</v>
      </c>
      <c r="AU29" s="67">
        <f t="shared" si="24"/>
        <v>1</v>
      </c>
    </row>
    <row r="30" spans="2:47" ht="12.75">
      <c r="B30" s="48">
        <f t="shared" si="13"/>
        <v>0.409090909090909</v>
      </c>
      <c r="C30" s="2">
        <v>1250</v>
      </c>
      <c r="D30" s="2">
        <v>3950</v>
      </c>
      <c r="E30" s="49">
        <f t="shared" si="25"/>
        <v>84.39999999999995</v>
      </c>
      <c r="G30" s="48">
        <v>184.03</v>
      </c>
      <c r="H30" s="50">
        <v>2989.49</v>
      </c>
      <c r="I30" s="49">
        <f t="shared" si="0"/>
        <v>47.80303030303031</v>
      </c>
      <c r="K30" s="48">
        <f t="shared" si="14"/>
        <v>2160</v>
      </c>
      <c r="L30" s="50">
        <f t="shared" si="26"/>
        <v>2160000</v>
      </c>
      <c r="M30" s="50">
        <f t="shared" si="1"/>
        <v>3950</v>
      </c>
      <c r="N30" s="50">
        <f t="shared" si="2"/>
        <v>1250</v>
      </c>
      <c r="O30" s="55">
        <f t="shared" si="3"/>
        <v>2700</v>
      </c>
      <c r="P30" s="2"/>
      <c r="Q30" s="48">
        <f t="shared" si="15"/>
        <v>2700</v>
      </c>
      <c r="R30" s="50">
        <f t="shared" si="4"/>
        <v>3950</v>
      </c>
      <c r="S30" s="50">
        <f t="shared" si="16"/>
        <v>0.0009166666666666666</v>
      </c>
      <c r="T30" s="57">
        <f t="shared" si="17"/>
        <v>7573983.975581133</v>
      </c>
      <c r="U30" s="57">
        <f t="shared" si="5"/>
        <v>-74670758.3489112</v>
      </c>
      <c r="V30" s="57">
        <f t="shared" si="27"/>
        <v>0.5961739142183355</v>
      </c>
      <c r="W30" s="57">
        <f t="shared" si="28"/>
        <v>0.8600304802078051</v>
      </c>
      <c r="X30" s="57">
        <f t="shared" si="29"/>
        <v>0.2638565659894697</v>
      </c>
      <c r="Y30" s="57">
        <f t="shared" si="18"/>
        <v>6737.182063066225</v>
      </c>
      <c r="Z30" s="57">
        <f t="shared" si="30"/>
        <v>1.4904347855458389</v>
      </c>
      <c r="AA30" s="58">
        <f t="shared" si="31"/>
        <v>4.650076200519512</v>
      </c>
      <c r="AB30" s="57">
        <f t="shared" si="32"/>
        <v>0.6596414149736742</v>
      </c>
      <c r="AC30" s="57">
        <f t="shared" si="33"/>
        <v>0.15797021626800067</v>
      </c>
      <c r="AD30" s="57">
        <f t="shared" si="34"/>
        <v>2348.0785060521034</v>
      </c>
      <c r="AE30" s="58">
        <f t="shared" si="19"/>
        <v>2689.886932568394</v>
      </c>
      <c r="AF30" s="49">
        <f t="shared" si="6"/>
        <v>2689.886932568394</v>
      </c>
      <c r="AH30" s="61">
        <f t="shared" si="7"/>
        <v>25.35118339006244</v>
      </c>
      <c r="AI30" s="62">
        <f t="shared" si="20"/>
        <v>2.571414312697298</v>
      </c>
      <c r="AK30" s="48">
        <f t="shared" si="21"/>
        <v>-62.4</v>
      </c>
      <c r="AL30" s="50">
        <f t="shared" si="8"/>
        <v>-34.10282799999999</v>
      </c>
      <c r="AM30" s="50">
        <f t="shared" si="22"/>
        <v>0</v>
      </c>
      <c r="AN30" s="50">
        <f t="shared" si="9"/>
        <v>0.03307598876416122</v>
      </c>
      <c r="AO30" s="49">
        <f t="shared" si="10"/>
        <v>0.03307598876416122</v>
      </c>
      <c r="AQ30" s="65">
        <f t="shared" si="11"/>
        <v>1250</v>
      </c>
      <c r="AR30" s="50">
        <f t="shared" si="12"/>
        <v>2000.2727272727273</v>
      </c>
      <c r="AS30" s="49">
        <f t="shared" si="23"/>
        <v>1250.1873471279755</v>
      </c>
      <c r="AU30" s="67">
        <f t="shared" si="24"/>
        <v>1</v>
      </c>
    </row>
    <row r="31" spans="2:47" ht="12.75">
      <c r="B31" s="48">
        <f t="shared" si="13"/>
        <v>0.4318181818181817</v>
      </c>
      <c r="C31" s="2">
        <v>1850</v>
      </c>
      <c r="D31" s="2">
        <v>4020</v>
      </c>
      <c r="E31" s="49">
        <v>85</v>
      </c>
      <c r="G31" s="48">
        <v>31.9247</v>
      </c>
      <c r="H31" s="50">
        <v>3069.93</v>
      </c>
      <c r="I31" s="49">
        <f t="shared" si="0"/>
        <v>46.477272727272734</v>
      </c>
      <c r="K31" s="48">
        <f t="shared" si="14"/>
        <v>2280</v>
      </c>
      <c r="L31" s="50">
        <f t="shared" si="26"/>
        <v>2280000</v>
      </c>
      <c r="M31" s="50">
        <f t="shared" si="1"/>
        <v>4020</v>
      </c>
      <c r="N31" s="50">
        <f t="shared" si="2"/>
        <v>1850</v>
      </c>
      <c r="O31" s="55">
        <f t="shared" si="3"/>
        <v>2170</v>
      </c>
      <c r="P31" s="2"/>
      <c r="Q31" s="48">
        <f t="shared" si="15"/>
        <v>2170</v>
      </c>
      <c r="R31" s="50">
        <f t="shared" si="4"/>
        <v>4020</v>
      </c>
      <c r="S31" s="50">
        <f t="shared" si="16"/>
        <v>0.00020833333333333335</v>
      </c>
      <c r="T31" s="57">
        <f t="shared" si="17"/>
        <v>157745.3226970359</v>
      </c>
      <c r="U31" s="57">
        <f t="shared" si="5"/>
        <v>-1319932.6560560921</v>
      </c>
      <c r="V31" s="57">
        <f t="shared" si="27"/>
        <v>0.2638565659894697</v>
      </c>
      <c r="W31" s="57">
        <f t="shared" si="28"/>
        <v>0.3040341010750236</v>
      </c>
      <c r="X31" s="57">
        <f t="shared" si="29"/>
        <v>0.0401775350855539</v>
      </c>
      <c r="Y31" s="57">
        <f t="shared" si="18"/>
        <v>5079.433022751598</v>
      </c>
      <c r="Z31" s="57">
        <f t="shared" si="30"/>
        <v>0.6596414149736742</v>
      </c>
      <c r="AA31" s="58">
        <f t="shared" si="31"/>
        <v>3.260085252687559</v>
      </c>
      <c r="AB31" s="57">
        <f t="shared" si="32"/>
        <v>0.10044383771388474</v>
      </c>
      <c r="AC31" s="57">
        <f t="shared" si="33"/>
        <v>0.03182750554510323</v>
      </c>
      <c r="AD31" s="57">
        <f t="shared" si="34"/>
        <v>2100.307864523991</v>
      </c>
      <c r="AE31" s="58">
        <f>AC31*AE32+AD31</f>
        <v>2163.752348964337</v>
      </c>
      <c r="AF31" s="49">
        <f t="shared" si="6"/>
        <v>2163.752348964337</v>
      </c>
      <c r="AH31" s="61">
        <f t="shared" si="7"/>
        <v>0.12672164516667553</v>
      </c>
      <c r="AI31" s="62">
        <f t="shared" si="20"/>
        <v>0.015144520228210055</v>
      </c>
      <c r="AK31" s="48">
        <f t="shared" si="21"/>
        <v>-63.24</v>
      </c>
      <c r="AL31" s="50">
        <f t="shared" si="8"/>
        <v>-34.754850000000005</v>
      </c>
      <c r="AM31" s="50">
        <f t="shared" si="22"/>
        <v>0</v>
      </c>
      <c r="AN31" s="50">
        <f t="shared" si="9"/>
        <v>0.031205152986294858</v>
      </c>
      <c r="AO31" s="49">
        <f t="shared" si="10"/>
        <v>0.031205152986294858</v>
      </c>
      <c r="AQ31" s="65">
        <f t="shared" si="11"/>
        <v>1850</v>
      </c>
      <c r="AR31" s="50">
        <f t="shared" si="12"/>
        <v>2452.9969696969697</v>
      </c>
      <c r="AS31" s="49">
        <f t="shared" si="23"/>
        <v>1850.1157393131252</v>
      </c>
      <c r="AU31" s="67">
        <f t="shared" si="24"/>
        <v>1</v>
      </c>
    </row>
    <row r="32" spans="2:47" ht="12.75">
      <c r="B32" s="48">
        <f t="shared" si="13"/>
        <v>0.4545454545454544</v>
      </c>
      <c r="C32" s="2">
        <v>2000</v>
      </c>
      <c r="D32" s="2">
        <v>4000</v>
      </c>
      <c r="E32" s="49">
        <f>E31-1</f>
        <v>84</v>
      </c>
      <c r="G32" s="48">
        <v>-75.7639</v>
      </c>
      <c r="H32" s="50">
        <v>3141.31</v>
      </c>
      <c r="I32" s="49">
        <f t="shared" si="0"/>
        <v>45.151515151515156</v>
      </c>
      <c r="K32" s="48">
        <f t="shared" si="14"/>
        <v>2400</v>
      </c>
      <c r="L32" s="50">
        <f t="shared" si="26"/>
        <v>2400000</v>
      </c>
      <c r="M32" s="50">
        <f t="shared" si="1"/>
        <v>4000</v>
      </c>
      <c r="N32" s="50">
        <f t="shared" si="2"/>
        <v>2000</v>
      </c>
      <c r="O32" s="55">
        <f t="shared" si="3"/>
        <v>2000</v>
      </c>
      <c r="P32" s="2"/>
      <c r="Q32" s="48">
        <f t="shared" si="15"/>
        <v>2000</v>
      </c>
      <c r="R32" s="50">
        <f t="shared" si="4"/>
        <v>4000</v>
      </c>
      <c r="S32" s="50">
        <f t="shared" si="16"/>
        <v>-0.0007083333333333334</v>
      </c>
      <c r="T32" s="57">
        <f t="shared" si="17"/>
        <v>1316388.285436505</v>
      </c>
      <c r="U32" s="57">
        <f t="shared" si="5"/>
        <v>-10251197.44858343</v>
      </c>
      <c r="V32" s="57">
        <f t="shared" si="27"/>
        <v>0.0401775350855539</v>
      </c>
      <c r="W32" s="57">
        <f t="shared" si="28"/>
        <v>0.2325297308489864</v>
      </c>
      <c r="X32" s="57">
        <f t="shared" si="29"/>
        <v>0.1923521957634325</v>
      </c>
      <c r="Y32" s="57">
        <f t="shared" si="18"/>
        <v>4792.912819479366</v>
      </c>
      <c r="Z32" s="57">
        <f t="shared" si="30"/>
        <v>0.10044383771388474</v>
      </c>
      <c r="AA32" s="58">
        <f t="shared" si="31"/>
        <v>3.081324327122466</v>
      </c>
      <c r="AB32" s="57">
        <f t="shared" si="32"/>
        <v>0.4808804894085812</v>
      </c>
      <c r="AC32" s="57">
        <f t="shared" si="33"/>
        <v>0.1562250092531051</v>
      </c>
      <c r="AD32" s="57">
        <f t="shared" si="34"/>
        <v>1625.6233318901543</v>
      </c>
      <c r="AE32" s="58">
        <f aca="true" t="shared" si="35" ref="AE32:AE51">AC32*AE33+AD32</f>
        <v>1993.3853864368355</v>
      </c>
      <c r="AF32" s="49">
        <f t="shared" si="6"/>
        <v>1993.3853864368355</v>
      </c>
      <c r="AH32" s="61">
        <f t="shared" si="7"/>
        <v>3.6306324297066315</v>
      </c>
      <c r="AI32" s="62">
        <f t="shared" si="20"/>
        <v>0.46622085109209555</v>
      </c>
      <c r="AK32" s="48">
        <f t="shared" si="21"/>
        <v>-63</v>
      </c>
      <c r="AL32" s="50">
        <f t="shared" si="8"/>
        <v>-34.33708</v>
      </c>
      <c r="AM32" s="50">
        <f t="shared" si="22"/>
        <v>0</v>
      </c>
      <c r="AN32" s="50">
        <f t="shared" si="9"/>
        <v>0.03172860923266546</v>
      </c>
      <c r="AO32" s="49">
        <f t="shared" si="10"/>
        <v>0.03172860923266546</v>
      </c>
      <c r="AQ32" s="65">
        <f t="shared" si="11"/>
        <v>2000</v>
      </c>
      <c r="AR32" s="50">
        <f t="shared" si="12"/>
        <v>2555.757575757576</v>
      </c>
      <c r="AS32" s="49">
        <f t="shared" si="23"/>
        <v>2000.1225373866146</v>
      </c>
      <c r="AU32" s="67">
        <f t="shared" si="24"/>
        <v>1</v>
      </c>
    </row>
    <row r="33" spans="2:47" ht="12.75">
      <c r="B33" s="48">
        <f t="shared" si="13"/>
        <v>0.4772727272727271</v>
      </c>
      <c r="C33" s="2">
        <v>1500</v>
      </c>
      <c r="D33" s="2">
        <v>3850</v>
      </c>
      <c r="E33" s="49">
        <f aca="true" t="shared" si="36" ref="E33:E51">E32-1</f>
        <v>83</v>
      </c>
      <c r="G33" s="48">
        <v>-56.0242</v>
      </c>
      <c r="H33" s="50">
        <v>3210.37</v>
      </c>
      <c r="I33" s="49">
        <f t="shared" si="0"/>
        <v>43.825757575757585</v>
      </c>
      <c r="K33" s="48">
        <f>L33/1000</f>
        <v>2520</v>
      </c>
      <c r="L33" s="50">
        <f t="shared" si="26"/>
        <v>2520000</v>
      </c>
      <c r="M33" s="50">
        <f t="shared" si="1"/>
        <v>3850</v>
      </c>
      <c r="N33" s="50">
        <f t="shared" si="2"/>
        <v>1500</v>
      </c>
      <c r="O33" s="55">
        <f t="shared" si="3"/>
        <v>2350</v>
      </c>
      <c r="P33" s="2"/>
      <c r="Q33" s="48">
        <f t="shared" si="15"/>
        <v>2350</v>
      </c>
      <c r="R33" s="50">
        <f t="shared" si="4"/>
        <v>3850</v>
      </c>
      <c r="S33" s="50">
        <f t="shared" si="16"/>
        <v>-0.001</v>
      </c>
      <c r="T33" s="57">
        <f t="shared" si="17"/>
        <v>5262184.692119123</v>
      </c>
      <c r="U33" s="57">
        <f t="shared" si="5"/>
        <v>-45146234.93128513</v>
      </c>
      <c r="V33" s="57">
        <f t="shared" si="27"/>
        <v>0.1923521957634325</v>
      </c>
      <c r="W33" s="57">
        <f t="shared" si="28"/>
        <v>0.4229545525838599</v>
      </c>
      <c r="X33" s="57">
        <f t="shared" si="29"/>
        <v>0.2306023568204274</v>
      </c>
      <c r="Y33" s="57">
        <f t="shared" si="18"/>
        <v>5966.354811836016</v>
      </c>
      <c r="Z33" s="57">
        <f t="shared" si="30"/>
        <v>0.4808804894085812</v>
      </c>
      <c r="AA33" s="58">
        <f t="shared" si="31"/>
        <v>3.55738638145965</v>
      </c>
      <c r="AB33" s="57">
        <f t="shared" si="32"/>
        <v>0.5765058920510685</v>
      </c>
      <c r="AC33" s="57">
        <f t="shared" si="33"/>
        <v>0.1655550578857979</v>
      </c>
      <c r="AD33" s="57">
        <f t="shared" si="34"/>
        <v>1937.8460428830474</v>
      </c>
      <c r="AE33" s="58">
        <f t="shared" si="35"/>
        <v>2354.0536582773266</v>
      </c>
      <c r="AF33" s="49">
        <f t="shared" si="6"/>
        <v>2354.0536582773266</v>
      </c>
      <c r="AH33" s="61">
        <f t="shared" si="7"/>
        <v>19.211163800546863</v>
      </c>
      <c r="AI33" s="62">
        <f t="shared" si="20"/>
        <v>2.239227528561329</v>
      </c>
      <c r="AK33" s="48">
        <f t="shared" si="21"/>
        <v>-61.2</v>
      </c>
      <c r="AL33" s="50">
        <f t="shared" si="8"/>
        <v>-33.01971</v>
      </c>
      <c r="AM33" s="50">
        <f t="shared" si="22"/>
        <v>0</v>
      </c>
      <c r="AN33" s="50">
        <f t="shared" si="9"/>
        <v>0.03594483010253418</v>
      </c>
      <c r="AO33" s="49">
        <f t="shared" si="10"/>
        <v>0.03594483010253418</v>
      </c>
      <c r="AQ33" s="65">
        <f t="shared" si="11"/>
        <v>1500</v>
      </c>
      <c r="AR33" s="50">
        <f t="shared" si="12"/>
        <v>2153.0151515151515</v>
      </c>
      <c r="AS33" s="49">
        <f t="shared" si="23"/>
        <v>1499.9249049567613</v>
      </c>
      <c r="AU33" s="67">
        <f t="shared" si="24"/>
        <v>1</v>
      </c>
    </row>
    <row r="34" spans="2:47" ht="12.75">
      <c r="B34" s="48">
        <f t="shared" si="13"/>
        <v>0.49999999999999983</v>
      </c>
      <c r="C34" s="2">
        <v>1250</v>
      </c>
      <c r="D34" s="2">
        <v>3760</v>
      </c>
      <c r="E34" s="49">
        <f t="shared" si="36"/>
        <v>82</v>
      </c>
      <c r="G34" s="48">
        <v>35.8462</v>
      </c>
      <c r="H34" s="50">
        <v>3274.68</v>
      </c>
      <c r="I34" s="49">
        <f t="shared" si="0"/>
        <v>42.500000000000014</v>
      </c>
      <c r="K34" s="48">
        <f t="shared" si="14"/>
        <v>2640</v>
      </c>
      <c r="L34" s="50">
        <f t="shared" si="26"/>
        <v>2640000</v>
      </c>
      <c r="M34" s="50">
        <f t="shared" si="1"/>
        <v>3760</v>
      </c>
      <c r="N34" s="50">
        <f t="shared" si="2"/>
        <v>1250</v>
      </c>
      <c r="O34" s="55">
        <f t="shared" si="3"/>
        <v>2510</v>
      </c>
      <c r="P34" s="2"/>
      <c r="Q34" s="48">
        <f t="shared" si="15"/>
        <v>2510</v>
      </c>
      <c r="R34" s="50">
        <f t="shared" si="4"/>
        <v>3760</v>
      </c>
      <c r="S34" s="50">
        <f t="shared" si="16"/>
        <v>-0.0005833333333333334</v>
      </c>
      <c r="T34" s="57">
        <f t="shared" si="17"/>
        <v>2402012.345684103</v>
      </c>
      <c r="U34" s="57">
        <f t="shared" si="5"/>
        <v>-21267243.832997967</v>
      </c>
      <c r="V34" s="57">
        <f t="shared" si="27"/>
        <v>0.2306023568204274</v>
      </c>
      <c r="W34" s="57">
        <f t="shared" si="28"/>
        <v>0.4524932537206558</v>
      </c>
      <c r="X34" s="57">
        <f t="shared" si="29"/>
        <v>0.22189089690022837</v>
      </c>
      <c r="Y34" s="57">
        <f t="shared" si="18"/>
        <v>6329.175672730834</v>
      </c>
      <c r="Z34" s="57">
        <f t="shared" si="30"/>
        <v>0.5765058920510685</v>
      </c>
      <c r="AA34" s="58">
        <f t="shared" si="31"/>
        <v>3.6312331343016395</v>
      </c>
      <c r="AB34" s="57">
        <f t="shared" si="32"/>
        <v>0.5547272422505709</v>
      </c>
      <c r="AC34" s="57">
        <f t="shared" si="33"/>
        <v>0.15688920844909918</v>
      </c>
      <c r="AD34" s="57">
        <f t="shared" si="34"/>
        <v>2105.994992233945</v>
      </c>
      <c r="AE34" s="58">
        <f t="shared" si="35"/>
        <v>2514.013287841586</v>
      </c>
      <c r="AF34" s="49">
        <f t="shared" si="6"/>
        <v>2514.013287841586</v>
      </c>
      <c r="AH34" s="61">
        <f t="shared" si="7"/>
        <v>4.942586548173499</v>
      </c>
      <c r="AI34" s="62">
        <f t="shared" si="20"/>
        <v>0.5582366009226004</v>
      </c>
      <c r="AK34" s="48">
        <f t="shared" si="21"/>
        <v>-60.12</v>
      </c>
      <c r="AL34" s="50">
        <f t="shared" si="8"/>
        <v>-32.117540000000005</v>
      </c>
      <c r="AM34" s="50">
        <f t="shared" si="22"/>
        <v>0</v>
      </c>
      <c r="AN34" s="50">
        <f t="shared" si="9"/>
        <v>0.038738934794464594</v>
      </c>
      <c r="AO34" s="49">
        <f t="shared" si="10"/>
        <v>0.038738934794464594</v>
      </c>
      <c r="AQ34" s="65">
        <f t="shared" si="11"/>
        <v>1250</v>
      </c>
      <c r="AR34" s="50">
        <f t="shared" si="12"/>
        <v>1947.4757575757576</v>
      </c>
      <c r="AS34" s="49">
        <f t="shared" si="23"/>
        <v>1249.925652829278</v>
      </c>
      <c r="AU34" s="67">
        <f t="shared" si="24"/>
        <v>1</v>
      </c>
    </row>
    <row r="35" spans="2:47" ht="12.75">
      <c r="B35" s="48">
        <f t="shared" si="13"/>
        <v>0.5227272727272726</v>
      </c>
      <c r="C35" s="2">
        <v>1100</v>
      </c>
      <c r="D35" s="2">
        <v>3710</v>
      </c>
      <c r="E35" s="49">
        <f t="shared" si="36"/>
        <v>81</v>
      </c>
      <c r="G35" s="48">
        <v>106.573</v>
      </c>
      <c r="H35" s="50">
        <v>3333.28</v>
      </c>
      <c r="I35" s="49">
        <f t="shared" si="0"/>
        <v>41.174242424242436</v>
      </c>
      <c r="K35" s="48">
        <f t="shared" si="14"/>
        <v>2760</v>
      </c>
      <c r="L35" s="50">
        <f t="shared" si="26"/>
        <v>2760000</v>
      </c>
      <c r="M35" s="50">
        <f t="shared" si="1"/>
        <v>3710</v>
      </c>
      <c r="N35" s="50">
        <f t="shared" si="2"/>
        <v>1100</v>
      </c>
      <c r="O35" s="55">
        <f t="shared" si="3"/>
        <v>2610</v>
      </c>
      <c r="P35" s="2"/>
      <c r="Q35" s="48">
        <f t="shared" si="15"/>
        <v>2610</v>
      </c>
      <c r="R35" s="50">
        <f t="shared" si="4"/>
        <v>3710</v>
      </c>
      <c r="S35" s="50">
        <f t="shared" si="16"/>
        <v>-0.00075</v>
      </c>
      <c r="T35" s="57">
        <f t="shared" si="17"/>
        <v>4724608.948351725</v>
      </c>
      <c r="U35" s="57">
        <f t="shared" si="5"/>
        <v>-42637334.47426781</v>
      </c>
      <c r="V35" s="57">
        <f t="shared" si="27"/>
        <v>0.22189089690022837</v>
      </c>
      <c r="W35" s="57">
        <f t="shared" si="28"/>
        <v>0.6631056830622019</v>
      </c>
      <c r="X35" s="57">
        <f t="shared" si="29"/>
        <v>0.44121478616197346</v>
      </c>
      <c r="Y35" s="57">
        <f t="shared" si="18"/>
        <v>6575.377258458098</v>
      </c>
      <c r="Z35" s="57">
        <f t="shared" si="30"/>
        <v>0.5547272422505709</v>
      </c>
      <c r="AA35" s="58">
        <f t="shared" si="31"/>
        <v>4.157764207655505</v>
      </c>
      <c r="AB35" s="57">
        <f t="shared" si="32"/>
        <v>1.1030369654049337</v>
      </c>
      <c r="AC35" s="57">
        <f t="shared" si="33"/>
        <v>0.2709676200105457</v>
      </c>
      <c r="AD35" s="57">
        <f t="shared" si="34"/>
        <v>1902.2689823003477</v>
      </c>
      <c r="AE35" s="58">
        <f t="shared" si="35"/>
        <v>2600.677890092215</v>
      </c>
      <c r="AF35" s="49">
        <f t="shared" si="6"/>
        <v>2600.677890092215</v>
      </c>
      <c r="AH35" s="61">
        <f t="shared" si="7"/>
        <v>12.252107607548222</v>
      </c>
      <c r="AI35" s="62">
        <f t="shared" si="20"/>
        <v>1.3576462495263577</v>
      </c>
      <c r="AK35" s="48">
        <f t="shared" si="21"/>
        <v>-59.52</v>
      </c>
      <c r="AL35" s="50">
        <f t="shared" si="8"/>
        <v>-31.49217</v>
      </c>
      <c r="AM35" s="50">
        <f t="shared" si="22"/>
        <v>0</v>
      </c>
      <c r="AN35" s="50">
        <f t="shared" si="9"/>
        <v>0.04038401313468612</v>
      </c>
      <c r="AO35" s="49">
        <f t="shared" si="10"/>
        <v>0.04038401313468612</v>
      </c>
      <c r="AQ35" s="65">
        <f t="shared" si="11"/>
        <v>1100</v>
      </c>
      <c r="AR35" s="50">
        <f t="shared" si="12"/>
        <v>1825.2636363636364</v>
      </c>
      <c r="AS35" s="49">
        <f t="shared" si="23"/>
        <v>1100.1726944401098</v>
      </c>
      <c r="AU35" s="67">
        <f t="shared" si="24"/>
        <v>1</v>
      </c>
    </row>
    <row r="36" spans="2:47" ht="12.75">
      <c r="B36" s="48">
        <f t="shared" si="13"/>
        <v>0.5454545454545453</v>
      </c>
      <c r="C36" s="2">
        <v>1000</v>
      </c>
      <c r="D36" s="2">
        <v>3580</v>
      </c>
      <c r="E36" s="49">
        <f t="shared" si="36"/>
        <v>80</v>
      </c>
      <c r="G36" s="48">
        <v>94.9412</v>
      </c>
      <c r="H36" s="50">
        <v>3376.35</v>
      </c>
      <c r="I36" s="49">
        <f t="shared" si="0"/>
        <v>39.84848484848486</v>
      </c>
      <c r="K36" s="48">
        <f t="shared" si="14"/>
        <v>2880</v>
      </c>
      <c r="L36" s="50">
        <f t="shared" si="26"/>
        <v>2880000</v>
      </c>
      <c r="M36" s="50">
        <f t="shared" si="1"/>
        <v>3580</v>
      </c>
      <c r="N36" s="50">
        <f t="shared" si="2"/>
        <v>1000</v>
      </c>
      <c r="O36" s="55">
        <f t="shared" si="3"/>
        <v>2580</v>
      </c>
      <c r="P36" s="2"/>
      <c r="Q36" s="48">
        <f t="shared" si="15"/>
        <v>2580</v>
      </c>
      <c r="R36" s="50">
        <f t="shared" si="4"/>
        <v>3580</v>
      </c>
      <c r="S36" s="50">
        <f t="shared" si="16"/>
        <v>-0.0010833333333333333</v>
      </c>
      <c r="T36" s="57">
        <f t="shared" si="17"/>
        <v>9773435.059646346</v>
      </c>
      <c r="U36" s="57">
        <f t="shared" si="5"/>
        <v>-84432523.94038054</v>
      </c>
      <c r="V36" s="57">
        <f t="shared" si="27"/>
        <v>0.44121478616197346</v>
      </c>
      <c r="W36" s="57">
        <f t="shared" si="28"/>
        <v>1.047894649417673</v>
      </c>
      <c r="X36" s="57">
        <f t="shared" si="29"/>
        <v>0.6066798632556996</v>
      </c>
      <c r="Y36" s="57">
        <f t="shared" si="18"/>
        <v>6222.393594244812</v>
      </c>
      <c r="Z36" s="57">
        <f t="shared" si="30"/>
        <v>1.1030369654049337</v>
      </c>
      <c r="AA36" s="58">
        <f t="shared" si="31"/>
        <v>5.119736623544182</v>
      </c>
      <c r="AB36" s="57">
        <f t="shared" si="32"/>
        <v>1.516699658139249</v>
      </c>
      <c r="AC36" s="57">
        <f t="shared" si="33"/>
        <v>0.3146125416409036</v>
      </c>
      <c r="AD36" s="57">
        <f t="shared" si="34"/>
        <v>1725.9752470319756</v>
      </c>
      <c r="AE36" s="58">
        <f t="shared" si="35"/>
        <v>2577.462605180229</v>
      </c>
      <c r="AF36" s="49">
        <f t="shared" si="6"/>
        <v>2577.462605180229</v>
      </c>
      <c r="AH36" s="61">
        <f t="shared" si="7"/>
        <v>35.452933179100356</v>
      </c>
      <c r="AI36" s="62">
        <f t="shared" si="20"/>
        <v>4.103832550885093</v>
      </c>
      <c r="AK36" s="48">
        <f t="shared" si="21"/>
        <v>-57.96</v>
      </c>
      <c r="AL36" s="50">
        <f t="shared" si="8"/>
        <v>-30.313200000000002</v>
      </c>
      <c r="AM36" s="50">
        <f t="shared" si="22"/>
        <v>0</v>
      </c>
      <c r="AN36" s="50">
        <f t="shared" si="9"/>
        <v>0.04499561102927177</v>
      </c>
      <c r="AO36" s="49">
        <f t="shared" si="10"/>
        <v>0.04499561102927177</v>
      </c>
      <c r="AQ36" s="65">
        <f t="shared" si="11"/>
        <v>1000</v>
      </c>
      <c r="AR36" s="50">
        <f t="shared" si="12"/>
        <v>1716.9272727272728</v>
      </c>
      <c r="AS36" s="49">
        <f t="shared" si="23"/>
        <v>1000.0470058797926</v>
      </c>
      <c r="AU36" s="67">
        <f t="shared" si="24"/>
        <v>1</v>
      </c>
    </row>
    <row r="37" spans="2:47" ht="12.75">
      <c r="B37" s="48">
        <f t="shared" si="13"/>
        <v>0.568181818181818</v>
      </c>
      <c r="C37" s="2">
        <v>750</v>
      </c>
      <c r="D37" s="2">
        <v>3450</v>
      </c>
      <c r="E37" s="49">
        <f t="shared" si="36"/>
        <v>79</v>
      </c>
      <c r="G37" s="48">
        <v>160.722</v>
      </c>
      <c r="H37" s="50">
        <v>3361.4</v>
      </c>
      <c r="I37" s="49">
        <f t="shared" si="0"/>
        <v>38.52272727272728</v>
      </c>
      <c r="K37" s="48">
        <f t="shared" si="14"/>
        <v>3000</v>
      </c>
      <c r="L37" s="50">
        <f t="shared" si="26"/>
        <v>3000000</v>
      </c>
      <c r="M37" s="50">
        <f t="shared" si="1"/>
        <v>3450</v>
      </c>
      <c r="N37" s="50">
        <f t="shared" si="2"/>
        <v>750</v>
      </c>
      <c r="O37" s="55">
        <f t="shared" si="3"/>
        <v>2700</v>
      </c>
      <c r="P37" s="2"/>
      <c r="Q37" s="48">
        <f t="shared" si="15"/>
        <v>2700</v>
      </c>
      <c r="R37" s="50">
        <f t="shared" si="4"/>
        <v>3450</v>
      </c>
      <c r="S37" s="50">
        <f t="shared" si="16"/>
        <v>-0.001</v>
      </c>
      <c r="T37" s="57">
        <f t="shared" si="17"/>
        <v>10440569.985033419</v>
      </c>
      <c r="U37" s="57">
        <f t="shared" si="5"/>
        <v>-90291276.67726094</v>
      </c>
      <c r="V37" s="57">
        <f t="shared" si="27"/>
        <v>0.6066798632556996</v>
      </c>
      <c r="W37" s="57">
        <f t="shared" si="28"/>
        <v>1.272910812089369</v>
      </c>
      <c r="X37" s="57">
        <f t="shared" si="29"/>
        <v>0.6662309488336694</v>
      </c>
      <c r="Y37" s="57">
        <f t="shared" si="18"/>
        <v>6381.317395144338</v>
      </c>
      <c r="Z37" s="57">
        <f t="shared" si="30"/>
        <v>1.516699658139249</v>
      </c>
      <c r="AA37" s="58">
        <f t="shared" si="31"/>
        <v>5.682277030223423</v>
      </c>
      <c r="AB37" s="57">
        <f t="shared" si="32"/>
        <v>1.6655773720841736</v>
      </c>
      <c r="AC37" s="57">
        <f t="shared" si="33"/>
        <v>0.3199892408314698</v>
      </c>
      <c r="AD37" s="57">
        <f t="shared" si="34"/>
        <v>1728.8997397063304</v>
      </c>
      <c r="AE37" s="58">
        <f t="shared" si="35"/>
        <v>2706.463492228275</v>
      </c>
      <c r="AF37" s="49">
        <f t="shared" si="6"/>
        <v>2706.463492228275</v>
      </c>
      <c r="AH37" s="61">
        <f t="shared" si="7"/>
        <v>33.44121358417072</v>
      </c>
      <c r="AI37" s="62">
        <f t="shared" si="20"/>
        <v>3.8668777722345995</v>
      </c>
      <c r="AK37" s="48">
        <f t="shared" si="21"/>
        <v>-56.4</v>
      </c>
      <c r="AL37" s="50">
        <f t="shared" si="8"/>
        <v>-29.134230000000002</v>
      </c>
      <c r="AM37" s="50">
        <f t="shared" si="22"/>
        <v>0</v>
      </c>
      <c r="AN37" s="50">
        <f t="shared" si="9"/>
        <v>0.050133824123550955</v>
      </c>
      <c r="AO37" s="49">
        <f t="shared" si="10"/>
        <v>0.050133824123550955</v>
      </c>
      <c r="AQ37" s="65">
        <f t="shared" si="11"/>
        <v>750</v>
      </c>
      <c r="AR37" s="50">
        <f t="shared" si="12"/>
        <v>1500.2727272727273</v>
      </c>
      <c r="AS37" s="49">
        <f t="shared" si="23"/>
        <v>749.8802621742763</v>
      </c>
      <c r="AU37" s="67">
        <f t="shared" si="24"/>
        <v>1</v>
      </c>
    </row>
    <row r="38" spans="2:47" ht="12.75">
      <c r="B38" s="48">
        <f t="shared" si="13"/>
        <v>0.5909090909090907</v>
      </c>
      <c r="C38" s="2">
        <v>300</v>
      </c>
      <c r="D38" s="2">
        <v>3340</v>
      </c>
      <c r="E38" s="49">
        <f t="shared" si="36"/>
        <v>78</v>
      </c>
      <c r="G38" s="48">
        <v>379.913</v>
      </c>
      <c r="H38" s="50">
        <v>3291.88</v>
      </c>
      <c r="I38" s="49">
        <f t="shared" si="0"/>
        <v>37.1969696969697</v>
      </c>
      <c r="K38" s="48">
        <f t="shared" si="14"/>
        <v>3120</v>
      </c>
      <c r="L38" s="50">
        <f t="shared" si="26"/>
        <v>3120000</v>
      </c>
      <c r="M38" s="50">
        <f t="shared" si="1"/>
        <v>3340</v>
      </c>
      <c r="N38" s="50">
        <f t="shared" si="2"/>
        <v>300</v>
      </c>
      <c r="O38" s="55">
        <f t="shared" si="3"/>
        <v>3040</v>
      </c>
      <c r="P38" s="2"/>
      <c r="Q38" s="48">
        <f t="shared" si="15"/>
        <v>3040</v>
      </c>
      <c r="R38" s="50">
        <f t="shared" si="4"/>
        <v>3340</v>
      </c>
      <c r="S38" s="50">
        <f t="shared" si="16"/>
        <v>-0.0007916666666666666</v>
      </c>
      <c r="T38" s="57">
        <f t="shared" si="17"/>
        <v>11028206.375089314</v>
      </c>
      <c r="U38" s="57">
        <f t="shared" si="5"/>
        <v>-101583236.58683586</v>
      </c>
      <c r="V38" s="57">
        <f t="shared" si="27"/>
        <v>0.6662309488336694</v>
      </c>
      <c r="W38" s="57">
        <f t="shared" si="28"/>
        <v>1.094561325657725</v>
      </c>
      <c r="X38" s="57">
        <f t="shared" si="29"/>
        <v>0.4283303768240556</v>
      </c>
      <c r="Y38" s="57">
        <f t="shared" si="18"/>
        <v>8248.427505870523</v>
      </c>
      <c r="Z38" s="57">
        <f t="shared" si="30"/>
        <v>1.6655773720841736</v>
      </c>
      <c r="AA38" s="58">
        <f t="shared" si="31"/>
        <v>5.2364033141443125</v>
      </c>
      <c r="AB38" s="57">
        <f t="shared" si="32"/>
        <v>1.070825942060139</v>
      </c>
      <c r="AC38" s="57">
        <f t="shared" si="33"/>
        <v>0.22766884334090948</v>
      </c>
      <c r="AD38" s="57">
        <f t="shared" si="34"/>
        <v>2365.9389999959417</v>
      </c>
      <c r="AE38" s="58">
        <f t="shared" si="35"/>
        <v>3054.9894427131762</v>
      </c>
      <c r="AF38" s="49">
        <f t="shared" si="6"/>
        <v>3054.9894427131762</v>
      </c>
      <c r="AH38" s="61">
        <f t="shared" si="7"/>
        <v>26.45396786115517</v>
      </c>
      <c r="AI38" s="62">
        <f t="shared" si="20"/>
        <v>2.871928743512842</v>
      </c>
      <c r="AK38" s="48">
        <f t="shared" si="21"/>
        <v>-55.08</v>
      </c>
      <c r="AL38" s="50">
        <f t="shared" si="8"/>
        <v>-28.093660000000003</v>
      </c>
      <c r="AM38" s="50">
        <f t="shared" si="22"/>
        <v>0</v>
      </c>
      <c r="AN38" s="50">
        <f t="shared" si="9"/>
        <v>0.05493723437160623</v>
      </c>
      <c r="AO38" s="49">
        <f t="shared" si="10"/>
        <v>0.05493723437160623</v>
      </c>
      <c r="AQ38" s="65">
        <f t="shared" si="11"/>
        <v>300</v>
      </c>
      <c r="AR38" s="50">
        <f t="shared" si="12"/>
        <v>1144.7515151515152</v>
      </c>
      <c r="AS38" s="49">
        <f t="shared" si="23"/>
        <v>299.7223167885256</v>
      </c>
      <c r="AU38" s="67">
        <f t="shared" si="24"/>
        <v>1</v>
      </c>
    </row>
    <row r="39" spans="2:47" ht="12.75">
      <c r="B39" s="48">
        <f t="shared" si="13"/>
        <v>0.6136363636363634</v>
      </c>
      <c r="C39" s="2">
        <v>250</v>
      </c>
      <c r="D39" s="2">
        <v>3260</v>
      </c>
      <c r="E39" s="49">
        <f t="shared" si="36"/>
        <v>77</v>
      </c>
      <c r="G39" s="48">
        <v>626.069</v>
      </c>
      <c r="H39" s="50">
        <v>3194.59</v>
      </c>
      <c r="I39" s="49">
        <f t="shared" si="0"/>
        <v>35.87121212121213</v>
      </c>
      <c r="K39" s="48">
        <f t="shared" si="14"/>
        <v>3240</v>
      </c>
      <c r="L39" s="50">
        <f t="shared" si="26"/>
        <v>3240000</v>
      </c>
      <c r="M39" s="50">
        <f t="shared" si="1"/>
        <v>3260</v>
      </c>
      <c r="N39" s="50">
        <f t="shared" si="2"/>
        <v>250</v>
      </c>
      <c r="O39" s="55">
        <f t="shared" si="3"/>
        <v>3010</v>
      </c>
      <c r="P39" s="2"/>
      <c r="Q39" s="48">
        <f t="shared" si="15"/>
        <v>3010</v>
      </c>
      <c r="R39" s="50">
        <f t="shared" si="4"/>
        <v>3260</v>
      </c>
      <c r="S39" s="50">
        <f t="shared" si="16"/>
        <v>-0.000375</v>
      </c>
      <c r="T39" s="57">
        <f t="shared" si="17"/>
        <v>2440431.988749496</v>
      </c>
      <c r="U39" s="57">
        <f t="shared" si="5"/>
        <v>-21775911.93849216</v>
      </c>
      <c r="V39" s="57">
        <f t="shared" si="27"/>
        <v>0.4283303768240556</v>
      </c>
      <c r="W39" s="57">
        <f t="shared" si="28"/>
        <v>0.5093824076883553</v>
      </c>
      <c r="X39" s="57">
        <f t="shared" si="29"/>
        <v>0.08105203086429968</v>
      </c>
      <c r="Y39" s="57">
        <f t="shared" si="18"/>
        <v>7489.443362104285</v>
      </c>
      <c r="Z39" s="57">
        <f t="shared" si="30"/>
        <v>1.070825942060139</v>
      </c>
      <c r="AA39" s="58">
        <f t="shared" si="31"/>
        <v>3.7734560192208884</v>
      </c>
      <c r="AB39" s="57">
        <f t="shared" si="32"/>
        <v>0.2026300771607492</v>
      </c>
      <c r="AC39" s="57">
        <f t="shared" si="33"/>
        <v>0.0574077798509959</v>
      </c>
      <c r="AD39" s="57">
        <f t="shared" si="34"/>
        <v>2839.634878501328</v>
      </c>
      <c r="AE39" s="58">
        <f t="shared" si="35"/>
        <v>3026.5469468980255</v>
      </c>
      <c r="AF39" s="49">
        <f t="shared" si="6"/>
        <v>3026.5469468980255</v>
      </c>
      <c r="AH39" s="61">
        <f t="shared" si="7"/>
        <v>2.712945839513143</v>
      </c>
      <c r="AI39" s="62">
        <f t="shared" si="20"/>
        <v>0.30404053015982097</v>
      </c>
      <c r="AK39" s="48">
        <f t="shared" si="21"/>
        <v>-54.12</v>
      </c>
      <c r="AL39" s="50">
        <f t="shared" si="8"/>
        <v>-27.260690000000004</v>
      </c>
      <c r="AM39" s="50">
        <f t="shared" si="22"/>
        <v>0</v>
      </c>
      <c r="AN39" s="50">
        <f t="shared" si="9"/>
        <v>0.05871724523693604</v>
      </c>
      <c r="AO39" s="49">
        <f t="shared" si="10"/>
        <v>0.05871724523693604</v>
      </c>
      <c r="AQ39" s="65">
        <f t="shared" si="11"/>
        <v>250</v>
      </c>
      <c r="AR39" s="50">
        <f t="shared" si="12"/>
        <v>1086.4151515151516</v>
      </c>
      <c r="AS39" s="49">
        <f t="shared" si="23"/>
        <v>249.69346363019213</v>
      </c>
      <c r="AU39" s="67">
        <f t="shared" si="24"/>
        <v>1</v>
      </c>
    </row>
    <row r="40" spans="2:47" ht="12.75">
      <c r="B40" s="48">
        <f t="shared" si="13"/>
        <v>0.6363636363636361</v>
      </c>
      <c r="C40" s="2">
        <v>0</v>
      </c>
      <c r="D40" s="2">
        <v>3250</v>
      </c>
      <c r="E40" s="49">
        <f t="shared" si="36"/>
        <v>76</v>
      </c>
      <c r="G40" s="48">
        <v>838.234</v>
      </c>
      <c r="H40" s="50">
        <v>3092.49</v>
      </c>
      <c r="I40" s="49">
        <f t="shared" si="0"/>
        <v>34.54545454545456</v>
      </c>
      <c r="K40" s="48">
        <f t="shared" si="14"/>
        <v>3360</v>
      </c>
      <c r="L40" s="50">
        <f t="shared" si="26"/>
        <v>3360000</v>
      </c>
      <c r="M40" s="50">
        <f t="shared" si="1"/>
        <v>3250</v>
      </c>
      <c r="N40" s="50">
        <f t="shared" si="2"/>
        <v>0</v>
      </c>
      <c r="O40" s="55">
        <f t="shared" si="3"/>
        <v>3250</v>
      </c>
      <c r="P40" s="2"/>
      <c r="Q40" s="48">
        <f t="shared" si="15"/>
        <v>3250</v>
      </c>
      <c r="R40" s="50">
        <f t="shared" si="4"/>
        <v>3250</v>
      </c>
      <c r="S40" s="50">
        <f t="shared" si="16"/>
        <v>-8.333333333333333E-05</v>
      </c>
      <c r="T40" s="57">
        <f t="shared" si="17"/>
        <v>165827.3691973069</v>
      </c>
      <c r="U40" s="57">
        <f t="shared" si="5"/>
        <v>-1567072.9504261494</v>
      </c>
      <c r="V40" s="57">
        <f t="shared" si="27"/>
        <v>0.08105203086429968</v>
      </c>
      <c r="W40" s="57">
        <f t="shared" si="28"/>
        <v>0.09271739313080883</v>
      </c>
      <c r="X40" s="57">
        <f t="shared" si="29"/>
        <v>0.011665362266509154</v>
      </c>
      <c r="Y40" s="57">
        <f t="shared" si="18"/>
        <v>8183.541914370455</v>
      </c>
      <c r="Z40" s="57">
        <f t="shared" si="30"/>
        <v>0.2026300771607492</v>
      </c>
      <c r="AA40" s="58">
        <f t="shared" si="31"/>
        <v>2.7317934828270216</v>
      </c>
      <c r="AB40" s="57">
        <f t="shared" si="32"/>
        <v>0.029163405666272884</v>
      </c>
      <c r="AC40" s="57">
        <f t="shared" si="33"/>
        <v>0.010721205954319527</v>
      </c>
      <c r="AD40" s="57">
        <f t="shared" si="34"/>
        <v>3220.0070298114097</v>
      </c>
      <c r="AE40" s="58">
        <f t="shared" si="35"/>
        <v>3255.866519866036</v>
      </c>
      <c r="AF40" s="49">
        <f t="shared" si="6"/>
        <v>3255.866519866036</v>
      </c>
      <c r="AH40" s="61">
        <f t="shared" si="7"/>
        <v>0.0401813577032346</v>
      </c>
      <c r="AI40" s="62">
        <f t="shared" si="20"/>
        <v>0.004251983825571971</v>
      </c>
      <c r="AK40" s="48">
        <f t="shared" si="21"/>
        <v>-54</v>
      </c>
      <c r="AL40" s="50">
        <f t="shared" si="8"/>
        <v>-26.91212</v>
      </c>
      <c r="AM40" s="50">
        <f t="shared" si="22"/>
        <v>0</v>
      </c>
      <c r="AN40" s="50">
        <f t="shared" si="9"/>
        <v>0.05920767837931242</v>
      </c>
      <c r="AO40" s="49">
        <f t="shared" si="10"/>
        <v>0.05920767837931242</v>
      </c>
      <c r="AQ40" s="65">
        <f t="shared" si="11"/>
        <v>0</v>
      </c>
      <c r="AR40" s="50">
        <f t="shared" si="12"/>
        <v>903.1060606060606</v>
      </c>
      <c r="AS40" s="49">
        <f t="shared" si="23"/>
        <v>-0.10867876196272543</v>
      </c>
      <c r="AU40" s="67">
        <f t="shared" si="24"/>
        <v>1</v>
      </c>
    </row>
    <row r="41" spans="2:47" ht="12.75">
      <c r="B41" s="48">
        <f t="shared" si="13"/>
        <v>0.6590909090909088</v>
      </c>
      <c r="C41" s="2">
        <v>-100</v>
      </c>
      <c r="D41" s="2">
        <v>3240</v>
      </c>
      <c r="E41" s="49">
        <f t="shared" si="36"/>
        <v>75</v>
      </c>
      <c r="G41" s="48">
        <v>643.812</v>
      </c>
      <c r="H41" s="50">
        <v>2981.29</v>
      </c>
      <c r="I41" s="49">
        <f t="shared" si="0"/>
        <v>33.21969696969698</v>
      </c>
      <c r="K41" s="48">
        <f t="shared" si="14"/>
        <v>3480</v>
      </c>
      <c r="L41" s="50">
        <f t="shared" si="26"/>
        <v>3480000</v>
      </c>
      <c r="M41" s="50">
        <f t="shared" si="1"/>
        <v>3240</v>
      </c>
      <c r="N41" s="50">
        <f t="shared" si="2"/>
        <v>-100</v>
      </c>
      <c r="O41" s="55">
        <f t="shared" si="3"/>
        <v>3340</v>
      </c>
      <c r="P41" s="2"/>
      <c r="Q41" s="48">
        <f t="shared" si="15"/>
        <v>3340</v>
      </c>
      <c r="R41" s="50">
        <f t="shared" si="4"/>
        <v>3240</v>
      </c>
      <c r="S41" s="50">
        <f t="shared" si="16"/>
        <v>-8.333333333333333E-05</v>
      </c>
      <c r="T41" s="57">
        <f t="shared" si="17"/>
        <v>186239.82077724507</v>
      </c>
      <c r="U41" s="57">
        <f t="shared" si="5"/>
        <v>-1792551.3823284868</v>
      </c>
      <c r="V41" s="57">
        <f t="shared" si="27"/>
        <v>0.011665362266509154</v>
      </c>
      <c r="W41" s="57">
        <f t="shared" si="28"/>
        <v>0.030706289702964584</v>
      </c>
      <c r="X41" s="57">
        <f t="shared" si="29"/>
        <v>0.019040927436455427</v>
      </c>
      <c r="Y41" s="57">
        <f t="shared" si="18"/>
        <v>8367.347531542213</v>
      </c>
      <c r="Z41" s="57">
        <f t="shared" si="30"/>
        <v>0.029163405666272884</v>
      </c>
      <c r="AA41" s="58">
        <f t="shared" si="31"/>
        <v>2.5767657242574113</v>
      </c>
      <c r="AB41" s="57">
        <f t="shared" si="32"/>
        <v>0.047602318591138566</v>
      </c>
      <c r="AC41" s="57">
        <f t="shared" si="33"/>
        <v>0.018475911468600614</v>
      </c>
      <c r="AD41" s="57">
        <f t="shared" si="34"/>
        <v>3284.070663957146</v>
      </c>
      <c r="AE41" s="58">
        <f t="shared" si="35"/>
        <v>3344.7254168434824</v>
      </c>
      <c r="AF41" s="49">
        <f t="shared" si="6"/>
        <v>3344.7254168434824</v>
      </c>
      <c r="AH41" s="61">
        <f t="shared" si="7"/>
        <v>0.044724335886439294</v>
      </c>
      <c r="AI41" s="62">
        <f t="shared" si="20"/>
        <v>0.004646702115200725</v>
      </c>
      <c r="AK41" s="48">
        <f t="shared" si="21"/>
        <v>-53.88</v>
      </c>
      <c r="AL41" s="50">
        <f t="shared" si="8"/>
        <v>-26.563550000000003</v>
      </c>
      <c r="AM41" s="50">
        <f t="shared" si="22"/>
        <v>0</v>
      </c>
      <c r="AN41" s="50">
        <f t="shared" si="9"/>
        <v>0.059702207842389346</v>
      </c>
      <c r="AO41" s="49">
        <f t="shared" si="10"/>
        <v>0.059702207842389346</v>
      </c>
      <c r="AQ41" s="65">
        <f t="shared" si="11"/>
        <v>-100</v>
      </c>
      <c r="AR41" s="50">
        <f t="shared" si="12"/>
        <v>828.1151515151515</v>
      </c>
      <c r="AS41" s="49">
        <f t="shared" si="23"/>
        <v>-100.08753954031259</v>
      </c>
      <c r="AU41" s="67">
        <f t="shared" si="24"/>
        <v>1</v>
      </c>
    </row>
    <row r="42" spans="2:47" ht="12.75">
      <c r="B42" s="48">
        <f t="shared" si="13"/>
        <v>0.6818181818181815</v>
      </c>
      <c r="C42" s="2">
        <v>-50</v>
      </c>
      <c r="D42" s="2">
        <v>3230</v>
      </c>
      <c r="E42" s="49">
        <f t="shared" si="36"/>
        <v>74</v>
      </c>
      <c r="G42" s="48">
        <v>720.549</v>
      </c>
      <c r="H42" s="50">
        <v>2856.08</v>
      </c>
      <c r="I42" s="49">
        <f t="shared" si="0"/>
        <v>31.89393939393941</v>
      </c>
      <c r="K42" s="48">
        <f t="shared" si="14"/>
        <v>3600</v>
      </c>
      <c r="L42" s="50">
        <f t="shared" si="26"/>
        <v>3600000</v>
      </c>
      <c r="M42" s="50">
        <f t="shared" si="1"/>
        <v>3230</v>
      </c>
      <c r="N42" s="50">
        <f t="shared" si="2"/>
        <v>-50</v>
      </c>
      <c r="O42" s="55">
        <f t="shared" si="3"/>
        <v>3280</v>
      </c>
      <c r="P42" s="2"/>
      <c r="Q42" s="48">
        <f t="shared" si="15"/>
        <v>3280</v>
      </c>
      <c r="R42" s="50">
        <f t="shared" si="4"/>
        <v>3230</v>
      </c>
      <c r="S42" s="50">
        <f t="shared" si="16"/>
        <v>-0.000125</v>
      </c>
      <c r="T42" s="57">
        <f t="shared" si="17"/>
        <v>390207.87344645633</v>
      </c>
      <c r="U42" s="57">
        <f t="shared" si="5"/>
        <v>-3691235.7193706767</v>
      </c>
      <c r="V42" s="57">
        <f t="shared" si="27"/>
        <v>0.019040927436455427</v>
      </c>
      <c r="W42" s="57">
        <f t="shared" si="28"/>
        <v>0.11390723325737707</v>
      </c>
      <c r="X42" s="57">
        <f t="shared" si="29"/>
        <v>0.09486630582092165</v>
      </c>
      <c r="Y42" s="57">
        <f t="shared" si="18"/>
        <v>8224.07872112924</v>
      </c>
      <c r="Z42" s="57">
        <f t="shared" si="30"/>
        <v>0.047602318591138566</v>
      </c>
      <c r="AA42" s="58">
        <f t="shared" si="31"/>
        <v>2.784768083143443</v>
      </c>
      <c r="AB42" s="57">
        <f t="shared" si="32"/>
        <v>0.23716576455230412</v>
      </c>
      <c r="AC42" s="57">
        <f t="shared" si="33"/>
        <v>0.08519226152464057</v>
      </c>
      <c r="AD42" s="57">
        <f t="shared" si="34"/>
        <v>3010.3245289798715</v>
      </c>
      <c r="AE42" s="58">
        <f t="shared" si="35"/>
        <v>3282.9099116120888</v>
      </c>
      <c r="AF42" s="49">
        <f t="shared" si="6"/>
        <v>3282.9099116120888</v>
      </c>
      <c r="AH42" s="61">
        <f t="shared" si="7"/>
        <v>0.14067209296382152</v>
      </c>
      <c r="AI42" s="62">
        <f t="shared" si="20"/>
        <v>0.014870726884392392</v>
      </c>
      <c r="AK42" s="48">
        <f t="shared" si="21"/>
        <v>-53.76</v>
      </c>
      <c r="AL42" s="50">
        <f t="shared" si="8"/>
        <v>-26.214980000000004</v>
      </c>
      <c r="AM42" s="50">
        <f t="shared" si="22"/>
        <v>0</v>
      </c>
      <c r="AN42" s="50">
        <f t="shared" si="9"/>
        <v>0.06020086784050063</v>
      </c>
      <c r="AO42" s="49">
        <f t="shared" si="10"/>
        <v>0.06020086784050063</v>
      </c>
      <c r="AQ42" s="65">
        <f t="shared" si="11"/>
        <v>-50</v>
      </c>
      <c r="AR42" s="50">
        <f t="shared" si="12"/>
        <v>861.4424242424243</v>
      </c>
      <c r="AS42" s="49">
        <f t="shared" si="23"/>
        <v>-50.0539068474401</v>
      </c>
      <c r="AU42" s="67">
        <f t="shared" si="24"/>
        <v>1</v>
      </c>
    </row>
    <row r="43" spans="2:47" ht="12.75">
      <c r="B43" s="48">
        <f t="shared" si="13"/>
        <v>0.7045454545454543</v>
      </c>
      <c r="C43" s="2">
        <v>0</v>
      </c>
      <c r="D43" s="2">
        <v>3210</v>
      </c>
      <c r="E43" s="49">
        <f t="shared" si="36"/>
        <v>73</v>
      </c>
      <c r="G43" s="48">
        <v>907.735</v>
      </c>
      <c r="H43" s="50">
        <v>2716.93</v>
      </c>
      <c r="I43" s="49">
        <f t="shared" si="0"/>
        <v>30.568181818181838</v>
      </c>
      <c r="K43" s="48">
        <f t="shared" si="14"/>
        <v>3720</v>
      </c>
      <c r="L43" s="50">
        <f t="shared" si="26"/>
        <v>3720000</v>
      </c>
      <c r="M43" s="50">
        <f t="shared" si="1"/>
        <v>3210</v>
      </c>
      <c r="N43" s="50">
        <f t="shared" si="2"/>
        <v>0</v>
      </c>
      <c r="O43" s="55">
        <f t="shared" si="3"/>
        <v>3210</v>
      </c>
      <c r="P43" s="2"/>
      <c r="Q43" s="48">
        <f t="shared" si="15"/>
        <v>3210</v>
      </c>
      <c r="R43" s="50">
        <f t="shared" si="4"/>
        <v>3210</v>
      </c>
      <c r="S43" s="50">
        <f t="shared" si="16"/>
        <v>-0.0003333333333333333</v>
      </c>
      <c r="T43" s="57">
        <f t="shared" si="17"/>
        <v>2556472.8869871967</v>
      </c>
      <c r="U43" s="57">
        <f t="shared" si="5"/>
        <v>-23630260.35705476</v>
      </c>
      <c r="V43" s="57">
        <f t="shared" si="27"/>
        <v>0.09486630582092165</v>
      </c>
      <c r="W43" s="57">
        <f t="shared" si="28"/>
        <v>0.39865724308866773</v>
      </c>
      <c r="X43" s="57">
        <f t="shared" si="29"/>
        <v>0.3037909372677461</v>
      </c>
      <c r="Y43" s="57">
        <f t="shared" si="18"/>
        <v>8429.61772208262</v>
      </c>
      <c r="Z43" s="57">
        <f t="shared" si="30"/>
        <v>0.23716576455230412</v>
      </c>
      <c r="AA43" s="58">
        <f t="shared" si="31"/>
        <v>3.496643107721669</v>
      </c>
      <c r="AB43" s="57">
        <f t="shared" si="32"/>
        <v>0.7594773431693652</v>
      </c>
      <c r="AC43" s="57">
        <f t="shared" si="33"/>
        <v>0.21846420141533057</v>
      </c>
      <c r="AD43" s="57">
        <f t="shared" si="34"/>
        <v>2630.1526263927863</v>
      </c>
      <c r="AE43" s="58">
        <f t="shared" si="35"/>
        <v>3199.649566215305</v>
      </c>
      <c r="AF43" s="49">
        <f t="shared" si="6"/>
        <v>3199.649566215305</v>
      </c>
      <c r="AH43" s="61">
        <f t="shared" si="7"/>
        <v>2.4538172748758833</v>
      </c>
      <c r="AI43" s="62">
        <f t="shared" si="20"/>
        <v>0.26546966635381064</v>
      </c>
      <c r="AK43" s="48">
        <f t="shared" si="21"/>
        <v>-53.52</v>
      </c>
      <c r="AL43" s="50">
        <f t="shared" si="8"/>
        <v>-25.797210000000003</v>
      </c>
      <c r="AM43" s="50">
        <f t="shared" si="22"/>
        <v>0</v>
      </c>
      <c r="AN43" s="50">
        <f t="shared" si="9"/>
        <v>0.06121071773041723</v>
      </c>
      <c r="AO43" s="49">
        <f t="shared" si="10"/>
        <v>0.06121071773041723</v>
      </c>
      <c r="AQ43" s="65">
        <f t="shared" si="11"/>
        <v>0</v>
      </c>
      <c r="AR43" s="50">
        <f t="shared" si="12"/>
        <v>891.9909090909091</v>
      </c>
      <c r="AS43" s="49">
        <f t="shared" si="23"/>
        <v>0.19174439960737952</v>
      </c>
      <c r="AU43" s="67">
        <f t="shared" si="24"/>
        <v>1</v>
      </c>
    </row>
    <row r="44" spans="2:47" ht="12.75">
      <c r="B44" s="48">
        <f t="shared" si="13"/>
        <v>0.727272727272727</v>
      </c>
      <c r="C44" s="2">
        <v>500</v>
      </c>
      <c r="D44" s="2">
        <v>3150</v>
      </c>
      <c r="E44" s="49">
        <f t="shared" si="36"/>
        <v>72</v>
      </c>
      <c r="G44" s="48">
        <v>1152.31</v>
      </c>
      <c r="H44" s="50">
        <v>2490.21</v>
      </c>
      <c r="I44" s="49">
        <f t="shared" si="0"/>
        <v>29.242424242424264</v>
      </c>
      <c r="K44" s="48">
        <f t="shared" si="14"/>
        <v>3840</v>
      </c>
      <c r="L44" s="50">
        <f t="shared" si="26"/>
        <v>3840000</v>
      </c>
      <c r="M44" s="50">
        <f t="shared" si="1"/>
        <v>3150</v>
      </c>
      <c r="N44" s="50">
        <f t="shared" si="2"/>
        <v>500</v>
      </c>
      <c r="O44" s="55">
        <f t="shared" si="3"/>
        <v>2650</v>
      </c>
      <c r="P44" s="2"/>
      <c r="Q44" s="48">
        <f t="shared" si="15"/>
        <v>2650</v>
      </c>
      <c r="R44" s="50">
        <f t="shared" si="4"/>
        <v>3150</v>
      </c>
      <c r="S44" s="50">
        <f t="shared" si="16"/>
        <v>-0.000875</v>
      </c>
      <c r="T44" s="57">
        <f t="shared" si="17"/>
        <v>8180735.655281794</v>
      </c>
      <c r="U44" s="57">
        <f t="shared" si="5"/>
        <v>-63861529.57605612</v>
      </c>
      <c r="V44" s="57">
        <f t="shared" si="27"/>
        <v>0.3037909372677461</v>
      </c>
      <c r="W44" s="57">
        <f t="shared" si="28"/>
        <v>1.2687961151768503</v>
      </c>
      <c r="X44" s="57">
        <f t="shared" si="29"/>
        <v>0.9650051779091041</v>
      </c>
      <c r="Y44" s="57">
        <f t="shared" si="18"/>
        <v>5844.786682542384</v>
      </c>
      <c r="Z44" s="57">
        <f t="shared" si="30"/>
        <v>0.7594773431693652</v>
      </c>
      <c r="AA44" s="58">
        <f t="shared" si="31"/>
        <v>5.671990287942126</v>
      </c>
      <c r="AB44" s="57">
        <f t="shared" si="32"/>
        <v>2.4125129447727605</v>
      </c>
      <c r="AC44" s="57">
        <f t="shared" si="33"/>
        <v>0.43815501984715205</v>
      </c>
      <c r="AD44" s="57">
        <f t="shared" si="34"/>
        <v>1424.305470738609</v>
      </c>
      <c r="AE44" s="58">
        <f t="shared" si="35"/>
        <v>2606.8204132897126</v>
      </c>
      <c r="AF44" s="49">
        <f t="shared" si="6"/>
        <v>2606.8204132897126</v>
      </c>
      <c r="AH44" s="61">
        <f t="shared" si="7"/>
        <v>21.08635410530155</v>
      </c>
      <c r="AI44" s="62">
        <f t="shared" si="20"/>
        <v>2.7011863012722905</v>
      </c>
      <c r="AK44" s="48">
        <f t="shared" si="21"/>
        <v>-52.800000000000004</v>
      </c>
      <c r="AL44" s="50">
        <f t="shared" si="8"/>
        <v>-25.10264</v>
      </c>
      <c r="AM44" s="50">
        <f t="shared" si="22"/>
        <v>0</v>
      </c>
      <c r="AN44" s="50">
        <f t="shared" si="9"/>
        <v>0.06434304822402916</v>
      </c>
      <c r="AO44" s="49">
        <f t="shared" si="10"/>
        <v>0.06434304822402916</v>
      </c>
      <c r="AQ44" s="65">
        <f t="shared" si="11"/>
        <v>500</v>
      </c>
      <c r="AR44" s="50">
        <f t="shared" si="12"/>
        <v>1236.378787878788</v>
      </c>
      <c r="AS44" s="49">
        <f t="shared" si="23"/>
        <v>500.79991274774414</v>
      </c>
      <c r="AU44" s="67">
        <f t="shared" si="24"/>
        <v>1</v>
      </c>
    </row>
    <row r="45" spans="2:47" ht="12.75">
      <c r="B45" s="48">
        <f t="shared" si="13"/>
        <v>0.7499999999999997</v>
      </c>
      <c r="C45" s="2">
        <v>250</v>
      </c>
      <c r="D45" s="2">
        <v>3000</v>
      </c>
      <c r="E45" s="49">
        <f t="shared" si="36"/>
        <v>71</v>
      </c>
      <c r="G45" s="48">
        <v>1415.01</v>
      </c>
      <c r="H45" s="50">
        <v>2197.69</v>
      </c>
      <c r="I45" s="49">
        <f t="shared" si="0"/>
        <v>27.916666666666686</v>
      </c>
      <c r="K45" s="48">
        <f t="shared" si="14"/>
        <v>3960</v>
      </c>
      <c r="L45" s="50">
        <f t="shared" si="26"/>
        <v>3960000</v>
      </c>
      <c r="M45" s="50">
        <f t="shared" si="1"/>
        <v>3000</v>
      </c>
      <c r="N45" s="50">
        <f t="shared" si="2"/>
        <v>250</v>
      </c>
      <c r="O45" s="55">
        <f t="shared" si="3"/>
        <v>2750</v>
      </c>
      <c r="P45" s="2"/>
      <c r="Q45" s="48">
        <f t="shared" si="15"/>
        <v>2750</v>
      </c>
      <c r="R45" s="50">
        <f t="shared" si="4"/>
        <v>3000</v>
      </c>
      <c r="S45" s="50">
        <f t="shared" si="16"/>
        <v>-0.0014583333333333334</v>
      </c>
      <c r="T45" s="57">
        <f t="shared" si="17"/>
        <v>27921115.403187264</v>
      </c>
      <c r="U45" s="57">
        <f t="shared" si="5"/>
        <v>-214059961.66176587</v>
      </c>
      <c r="V45" s="57">
        <f t="shared" si="27"/>
        <v>0.9650051779091041</v>
      </c>
      <c r="W45" s="57">
        <f t="shared" si="28"/>
        <v>2.8281590464693007</v>
      </c>
      <c r="X45" s="57">
        <f t="shared" si="29"/>
        <v>1.8631538685601965</v>
      </c>
      <c r="Y45" s="57">
        <f t="shared" si="18"/>
        <v>7601.632638654439</v>
      </c>
      <c r="Z45" s="57">
        <f t="shared" si="30"/>
        <v>2.4125129447727605</v>
      </c>
      <c r="AA45" s="58">
        <f t="shared" si="31"/>
        <v>9.570397616173253</v>
      </c>
      <c r="AB45" s="57">
        <f t="shared" si="32"/>
        <v>4.657884671400491</v>
      </c>
      <c r="AC45" s="57">
        <f t="shared" si="33"/>
        <v>0.5471275730164392</v>
      </c>
      <c r="AD45" s="57">
        <f t="shared" si="34"/>
        <v>1296.5280592256504</v>
      </c>
      <c r="AE45" s="58">
        <f t="shared" si="35"/>
        <v>2698.850609913399</v>
      </c>
      <c r="AF45" s="49">
        <f t="shared" si="6"/>
        <v>2698.850609913399</v>
      </c>
      <c r="AH45" s="61">
        <f t="shared" si="7"/>
        <v>113.51664633578494</v>
      </c>
      <c r="AI45" s="62">
        <f t="shared" si="20"/>
        <v>14.806652107750823</v>
      </c>
      <c r="AK45" s="48">
        <f t="shared" si="21"/>
        <v>-51</v>
      </c>
      <c r="AL45" s="50">
        <f t="shared" si="8"/>
        <v>-23.785270000000004</v>
      </c>
      <c r="AM45" s="50">
        <f t="shared" si="22"/>
        <v>0</v>
      </c>
      <c r="AN45" s="50">
        <f t="shared" si="9"/>
        <v>0.07289320246381312</v>
      </c>
      <c r="AO45" s="49">
        <f t="shared" si="10"/>
        <v>0.07289320246381312</v>
      </c>
      <c r="AQ45" s="65">
        <f t="shared" si="11"/>
        <v>250</v>
      </c>
      <c r="AR45" s="50">
        <f t="shared" si="12"/>
        <v>1014.1666666666666</v>
      </c>
      <c r="AS45" s="49">
        <f t="shared" si="23"/>
        <v>250.94755536786693</v>
      </c>
      <c r="AU45" s="67">
        <f t="shared" si="24"/>
        <v>1</v>
      </c>
    </row>
    <row r="46" spans="2:47" ht="12.75">
      <c r="B46" s="48">
        <f t="shared" si="13"/>
        <v>0.7727272727272724</v>
      </c>
      <c r="C46" s="2">
        <v>200</v>
      </c>
      <c r="D46" s="2">
        <v>2800</v>
      </c>
      <c r="E46" s="49">
        <f t="shared" si="36"/>
        <v>70</v>
      </c>
      <c r="G46" s="48">
        <v>1318.98</v>
      </c>
      <c r="H46" s="50">
        <v>1822.74</v>
      </c>
      <c r="I46" s="49">
        <f t="shared" si="0"/>
        <v>26.590909090909115</v>
      </c>
      <c r="K46" s="48">
        <f t="shared" si="14"/>
        <v>4080</v>
      </c>
      <c r="L46" s="50">
        <f t="shared" si="26"/>
        <v>4080000</v>
      </c>
      <c r="M46" s="50">
        <f t="shared" si="1"/>
        <v>2800</v>
      </c>
      <c r="N46" s="50">
        <f t="shared" si="2"/>
        <v>200</v>
      </c>
      <c r="O46" s="55">
        <f t="shared" si="3"/>
        <v>2600</v>
      </c>
      <c r="P46" s="2"/>
      <c r="Q46" s="48">
        <f t="shared" si="15"/>
        <v>2600</v>
      </c>
      <c r="R46" s="50">
        <f t="shared" si="4"/>
        <v>2800</v>
      </c>
      <c r="S46" s="50">
        <f t="shared" si="16"/>
        <v>-0.0020416666666666665</v>
      </c>
      <c r="T46" s="57">
        <f t="shared" si="17"/>
        <v>46917471.21131616</v>
      </c>
      <c r="U46" s="57">
        <f t="shared" si="5"/>
        <v>-322528352.4835707</v>
      </c>
      <c r="V46" s="57">
        <f t="shared" si="27"/>
        <v>1.8631538685601965</v>
      </c>
      <c r="W46" s="57">
        <f t="shared" si="28"/>
        <v>3.561387332511879</v>
      </c>
      <c r="X46" s="57">
        <f t="shared" si="29"/>
        <v>1.6982334639516825</v>
      </c>
      <c r="Y46" s="57">
        <f t="shared" si="18"/>
        <v>6080.780165280679</v>
      </c>
      <c r="Z46" s="57">
        <f t="shared" si="30"/>
        <v>4.657884671400491</v>
      </c>
      <c r="AA46" s="58">
        <f t="shared" si="31"/>
        <v>11.403468331279697</v>
      </c>
      <c r="AB46" s="57">
        <f t="shared" si="32"/>
        <v>4.245583659879206</v>
      </c>
      <c r="AC46" s="57">
        <f t="shared" si="33"/>
        <v>0.4794554818831179</v>
      </c>
      <c r="AD46" s="57">
        <f t="shared" si="34"/>
        <v>1368.7005098734755</v>
      </c>
      <c r="AE46" s="58">
        <f t="shared" si="35"/>
        <v>2563.0632047228473</v>
      </c>
      <c r="AF46" s="49">
        <f t="shared" si="6"/>
        <v>2563.0632047228473</v>
      </c>
      <c r="AH46" s="61">
        <f t="shared" si="7"/>
        <v>253.26745627716286</v>
      </c>
      <c r="AI46" s="62">
        <f t="shared" si="20"/>
        <v>36.842245021706596</v>
      </c>
      <c r="AK46" s="48">
        <f t="shared" si="21"/>
        <v>-48.6</v>
      </c>
      <c r="AL46" s="50">
        <f t="shared" si="8"/>
        <v>-22.121900000000004</v>
      </c>
      <c r="AM46" s="50">
        <f t="shared" si="22"/>
        <v>0</v>
      </c>
      <c r="AN46" s="50">
        <f t="shared" si="9"/>
        <v>0.08608633717786018</v>
      </c>
      <c r="AO46" s="49">
        <f t="shared" si="10"/>
        <v>0.08608633717786018</v>
      </c>
      <c r="AQ46" s="65">
        <f t="shared" si="11"/>
        <v>200</v>
      </c>
      <c r="AR46" s="50">
        <f t="shared" si="12"/>
        <v>922.4848484848485</v>
      </c>
      <c r="AS46" s="49">
        <f t="shared" si="23"/>
        <v>200.68426345998282</v>
      </c>
      <c r="AU46" s="67">
        <f t="shared" si="24"/>
        <v>1</v>
      </c>
    </row>
    <row r="47" spans="2:47" ht="12.75">
      <c r="B47" s="48">
        <f t="shared" si="13"/>
        <v>0.7954545454545451</v>
      </c>
      <c r="C47" s="2">
        <v>0</v>
      </c>
      <c r="D47" s="2">
        <v>2510</v>
      </c>
      <c r="E47" s="49">
        <f t="shared" si="36"/>
        <v>69</v>
      </c>
      <c r="G47" s="48">
        <v>856.985</v>
      </c>
      <c r="H47" s="50">
        <v>856.985</v>
      </c>
      <c r="I47" s="49">
        <f t="shared" si="0"/>
        <v>25.265151515151537</v>
      </c>
      <c r="K47" s="48">
        <f t="shared" si="14"/>
        <v>4200</v>
      </c>
      <c r="L47" s="50">
        <f t="shared" si="26"/>
        <v>4200000</v>
      </c>
      <c r="M47" s="50">
        <f t="shared" si="1"/>
        <v>2510</v>
      </c>
      <c r="N47" s="50">
        <f t="shared" si="2"/>
        <v>0</v>
      </c>
      <c r="O47" s="55">
        <f t="shared" si="3"/>
        <v>2510</v>
      </c>
      <c r="P47" s="2"/>
      <c r="Q47" s="48">
        <f t="shared" si="15"/>
        <v>2510</v>
      </c>
      <c r="R47" s="50">
        <f t="shared" si="4"/>
        <v>2510</v>
      </c>
      <c r="S47" s="50">
        <f t="shared" si="16"/>
        <v>-0.0015833333333333333</v>
      </c>
      <c r="T47" s="57">
        <f t="shared" si="17"/>
        <v>27576179.68716072</v>
      </c>
      <c r="U47" s="57">
        <f t="shared" si="5"/>
        <v>-166562885.13451385</v>
      </c>
      <c r="V47" s="57">
        <f t="shared" si="27"/>
        <v>1.6982334639516825</v>
      </c>
      <c r="W47" s="57">
        <f t="shared" si="28"/>
        <v>3.32741756745828</v>
      </c>
      <c r="X47" s="57">
        <f t="shared" si="29"/>
        <v>1.6291841035065973</v>
      </c>
      <c r="Y47" s="57">
        <f t="shared" si="18"/>
        <v>5812.647028168238</v>
      </c>
      <c r="Z47" s="57">
        <f t="shared" si="30"/>
        <v>4.245583659879206</v>
      </c>
      <c r="AA47" s="58">
        <f t="shared" si="31"/>
        <v>10.8185439186457</v>
      </c>
      <c r="AB47" s="57">
        <f t="shared" si="32"/>
        <v>4.072960258766493</v>
      </c>
      <c r="AC47" s="57">
        <f t="shared" si="33"/>
        <v>0.4637335298668512</v>
      </c>
      <c r="AD47" s="57">
        <f t="shared" si="34"/>
        <v>1323.4215978298535</v>
      </c>
      <c r="AE47" s="58">
        <f t="shared" si="35"/>
        <v>2491.081528901018</v>
      </c>
      <c r="AF47" s="49">
        <f t="shared" si="6"/>
        <v>2491.081528901018</v>
      </c>
      <c r="AH47" s="61">
        <f t="shared" si="7"/>
        <v>105.06954905563623</v>
      </c>
      <c r="AI47" s="62">
        <f t="shared" si="20"/>
        <v>17.395332471980534</v>
      </c>
      <c r="AK47" s="48">
        <f t="shared" si="21"/>
        <v>-45.120000000000005</v>
      </c>
      <c r="AL47" s="50">
        <f t="shared" si="8"/>
        <v>-19.83573</v>
      </c>
      <c r="AM47" s="50">
        <f t="shared" si="22"/>
        <v>0</v>
      </c>
      <c r="AN47" s="50">
        <f t="shared" si="9"/>
        <v>0.10957025395643755</v>
      </c>
      <c r="AO47" s="49">
        <f t="shared" si="10"/>
        <v>0.10957025395643755</v>
      </c>
      <c r="AQ47" s="65">
        <f t="shared" si="11"/>
        <v>0</v>
      </c>
      <c r="AR47" s="50">
        <f t="shared" si="12"/>
        <v>697.4757575757576</v>
      </c>
      <c r="AS47" s="49">
        <f t="shared" si="23"/>
        <v>0.35046945450033795</v>
      </c>
      <c r="AU47" s="67">
        <f t="shared" si="24"/>
        <v>1</v>
      </c>
    </row>
    <row r="48" spans="2:47" ht="12.75">
      <c r="B48" s="48">
        <f t="shared" si="13"/>
        <v>0.8181818181818178</v>
      </c>
      <c r="C48" s="2">
        <v>-200</v>
      </c>
      <c r="D48" s="2">
        <v>2420</v>
      </c>
      <c r="E48" s="49">
        <f t="shared" si="36"/>
        <v>68</v>
      </c>
      <c r="G48" s="48">
        <v>-170.996</v>
      </c>
      <c r="H48" s="50">
        <v>-170.996</v>
      </c>
      <c r="I48" s="49">
        <f t="shared" si="0"/>
        <v>23.939393939393966</v>
      </c>
      <c r="K48" s="48">
        <f t="shared" si="14"/>
        <v>4320</v>
      </c>
      <c r="L48" s="50">
        <f t="shared" si="26"/>
        <v>4320000</v>
      </c>
      <c r="M48" s="50">
        <f t="shared" si="1"/>
        <v>2420</v>
      </c>
      <c r="N48" s="50">
        <f t="shared" si="2"/>
        <v>-200</v>
      </c>
      <c r="O48" s="55">
        <f t="shared" si="3"/>
        <v>2620</v>
      </c>
      <c r="P48" s="2"/>
      <c r="Q48" s="48">
        <f t="shared" si="15"/>
        <v>2620</v>
      </c>
      <c r="R48" s="50">
        <f t="shared" si="4"/>
        <v>2420</v>
      </c>
      <c r="S48" s="50">
        <f t="shared" si="16"/>
        <v>-0.0019166666666666666</v>
      </c>
      <c r="T48" s="57">
        <f t="shared" si="17"/>
        <v>50259438.02722201</v>
      </c>
      <c r="U48" s="57">
        <f t="shared" si="5"/>
        <v>-302642136.6753862</v>
      </c>
      <c r="V48" s="57">
        <f t="shared" si="27"/>
        <v>1.6291841035065973</v>
      </c>
      <c r="W48" s="57">
        <f t="shared" si="28"/>
        <v>5.817219407104863</v>
      </c>
      <c r="X48" s="57">
        <f t="shared" si="29"/>
        <v>4.188035303598266</v>
      </c>
      <c r="Y48" s="57">
        <f t="shared" si="18"/>
        <v>8969.124877207105</v>
      </c>
      <c r="Z48" s="57">
        <f t="shared" si="30"/>
        <v>4.072960258766493</v>
      </c>
      <c r="AA48" s="58">
        <f t="shared" si="31"/>
        <v>17.04304851776216</v>
      </c>
      <c r="AB48" s="57">
        <f t="shared" si="32"/>
        <v>10.470088258995665</v>
      </c>
      <c r="AC48" s="57">
        <f t="shared" si="33"/>
        <v>0.6908997369438513</v>
      </c>
      <c r="AD48" s="57">
        <f t="shared" si="34"/>
        <v>947.5453921591401</v>
      </c>
      <c r="AE48" s="58">
        <f t="shared" si="35"/>
        <v>2517.9545059129696</v>
      </c>
      <c r="AF48" s="49">
        <f t="shared" si="6"/>
        <v>2517.9545059129696</v>
      </c>
      <c r="AH48" s="61">
        <f t="shared" si="7"/>
        <v>221.39850965438558</v>
      </c>
      <c r="AI48" s="62">
        <f t="shared" si="20"/>
        <v>36.767400592433404</v>
      </c>
      <c r="AK48" s="48">
        <f t="shared" si="21"/>
        <v>-44.04</v>
      </c>
      <c r="AL48" s="50">
        <f t="shared" si="8"/>
        <v>-18.933560000000003</v>
      </c>
      <c r="AM48" s="50">
        <f t="shared" si="22"/>
        <v>0</v>
      </c>
      <c r="AN48" s="50">
        <f t="shared" si="9"/>
        <v>0.11808749439970523</v>
      </c>
      <c r="AO48" s="49">
        <f t="shared" si="10"/>
        <v>0.11808749439970523</v>
      </c>
      <c r="AQ48" s="65">
        <f t="shared" si="11"/>
        <v>-200</v>
      </c>
      <c r="AR48" s="50">
        <f t="shared" si="12"/>
        <v>528.0424242424242</v>
      </c>
      <c r="AS48" s="49">
        <f t="shared" si="23"/>
        <v>-198.1095814529736</v>
      </c>
      <c r="AU48" s="67">
        <f t="shared" si="24"/>
        <v>1</v>
      </c>
    </row>
    <row r="49" spans="2:47" ht="12.75">
      <c r="B49" s="48">
        <f t="shared" si="13"/>
        <v>0.8409090909090905</v>
      </c>
      <c r="C49" s="2">
        <v>-250</v>
      </c>
      <c r="D49" s="2">
        <v>2050</v>
      </c>
      <c r="E49" s="49">
        <f t="shared" si="36"/>
        <v>67</v>
      </c>
      <c r="G49" s="48">
        <v>-267.75</v>
      </c>
      <c r="H49" s="50">
        <v>-267.75</v>
      </c>
      <c r="I49" s="49">
        <f t="shared" si="0"/>
        <v>22.613636363636388</v>
      </c>
      <c r="K49" s="48">
        <f t="shared" si="14"/>
        <v>4440</v>
      </c>
      <c r="L49" s="50">
        <f t="shared" si="26"/>
        <v>4440000</v>
      </c>
      <c r="M49" s="50">
        <f t="shared" si="1"/>
        <v>2050</v>
      </c>
      <c r="N49" s="50">
        <f t="shared" si="2"/>
        <v>-250</v>
      </c>
      <c r="O49" s="55">
        <f t="shared" si="3"/>
        <v>2300</v>
      </c>
      <c r="P49" s="2"/>
      <c r="Q49" s="48">
        <f t="shared" si="15"/>
        <v>2300</v>
      </c>
      <c r="R49" s="50">
        <f t="shared" si="4"/>
        <v>2050</v>
      </c>
      <c r="S49" s="50">
        <f t="shared" si="16"/>
        <v>-0.004458333333333333</v>
      </c>
      <c r="T49" s="57">
        <f t="shared" si="17"/>
        <v>191570717.57016057</v>
      </c>
      <c r="U49" s="57">
        <f t="shared" si="5"/>
        <v>-903512030.7609143</v>
      </c>
      <c r="V49" s="57">
        <f t="shared" si="27"/>
        <v>4.188035303598266</v>
      </c>
      <c r="W49" s="57">
        <f t="shared" si="28"/>
        <v>8.237806225063025</v>
      </c>
      <c r="X49" s="57">
        <f t="shared" si="29"/>
        <v>4.049770921464759</v>
      </c>
      <c r="Y49" s="57">
        <f t="shared" si="18"/>
        <v>8739.75420925684</v>
      </c>
      <c r="Z49" s="57">
        <f t="shared" si="30"/>
        <v>10.470088258995665</v>
      </c>
      <c r="AA49" s="58">
        <f t="shared" si="31"/>
        <v>23.094515562657563</v>
      </c>
      <c r="AB49" s="57">
        <f t="shared" si="32"/>
        <v>10.124427303661898</v>
      </c>
      <c r="AC49" s="57">
        <f t="shared" si="33"/>
        <v>0.6383328216357428</v>
      </c>
      <c r="AD49" s="57">
        <f t="shared" si="34"/>
        <v>1176.530524755755</v>
      </c>
      <c r="AE49" s="58">
        <f t="shared" si="35"/>
        <v>2272.991332578051</v>
      </c>
      <c r="AF49" s="49">
        <f t="shared" si="6"/>
        <v>2272.991332578051</v>
      </c>
      <c r="AH49" s="61">
        <f t="shared" si="7"/>
        <v>1751.3729581778591</v>
      </c>
      <c r="AI49" s="62">
        <f t="shared" si="20"/>
        <v>371.3417894928837</v>
      </c>
      <c r="AK49" s="48">
        <f t="shared" si="21"/>
        <v>-39.6</v>
      </c>
      <c r="AL49" s="50">
        <f t="shared" si="8"/>
        <v>-16.093790000000002</v>
      </c>
      <c r="AM49" s="50">
        <f t="shared" si="22"/>
        <v>0</v>
      </c>
      <c r="AN49" s="50">
        <f t="shared" si="9"/>
        <v>0.16064278541501043</v>
      </c>
      <c r="AO49" s="49">
        <f t="shared" si="10"/>
        <v>0.16064278541501043</v>
      </c>
      <c r="AQ49" s="65">
        <f t="shared" si="11"/>
        <v>-250</v>
      </c>
      <c r="AR49" s="50">
        <f t="shared" si="12"/>
        <v>389.1212121212121</v>
      </c>
      <c r="AS49" s="49">
        <f t="shared" si="23"/>
        <v>-249.49965761563783</v>
      </c>
      <c r="AU49" s="67">
        <f t="shared" si="24"/>
        <v>1</v>
      </c>
    </row>
    <row r="50" spans="2:47" ht="12.75">
      <c r="B50" s="48">
        <f t="shared" si="13"/>
        <v>0.8636363636363632</v>
      </c>
      <c r="C50" s="2">
        <v>-200</v>
      </c>
      <c r="D50" s="2">
        <v>1350</v>
      </c>
      <c r="E50" s="49">
        <f t="shared" si="36"/>
        <v>66</v>
      </c>
      <c r="G50" s="48">
        <v>5.62864</v>
      </c>
      <c r="H50" s="50">
        <v>5.62864</v>
      </c>
      <c r="I50" s="49">
        <f t="shared" si="0"/>
        <v>21.287878787878817</v>
      </c>
      <c r="K50" s="48">
        <f t="shared" si="14"/>
        <v>4560</v>
      </c>
      <c r="L50" s="50">
        <f t="shared" si="26"/>
        <v>4560000</v>
      </c>
      <c r="M50" s="50">
        <f t="shared" si="1"/>
        <v>1350</v>
      </c>
      <c r="N50" s="50">
        <f t="shared" si="2"/>
        <v>-200</v>
      </c>
      <c r="O50" s="55">
        <f t="shared" si="3"/>
        <v>1550</v>
      </c>
      <c r="P50" s="2"/>
      <c r="Q50" s="48">
        <f t="shared" si="15"/>
        <v>1550</v>
      </c>
      <c r="R50" s="50">
        <f t="shared" si="4"/>
        <v>1350</v>
      </c>
      <c r="S50" s="50">
        <f t="shared" si="16"/>
        <v>-0.005729166666666666</v>
      </c>
      <c r="T50" s="57">
        <f t="shared" si="17"/>
        <v>99403446.75903635</v>
      </c>
      <c r="U50" s="57">
        <f t="shared" si="5"/>
        <v>-262821994.6209365</v>
      </c>
      <c r="V50" s="57">
        <f t="shared" si="27"/>
        <v>4.049770921464759</v>
      </c>
      <c r="W50" s="57">
        <f t="shared" si="28"/>
        <v>4.994422316628675</v>
      </c>
      <c r="X50" s="57">
        <f t="shared" si="29"/>
        <v>0.9446513951639154</v>
      </c>
      <c r="Y50" s="57">
        <f t="shared" si="18"/>
        <v>602.816130628386</v>
      </c>
      <c r="Z50" s="57">
        <f t="shared" si="30"/>
        <v>10.124427303661898</v>
      </c>
      <c r="AA50" s="58">
        <f t="shared" si="31"/>
        <v>14.986055791571689</v>
      </c>
      <c r="AB50" s="57">
        <f t="shared" si="32"/>
        <v>2.3616284879097886</v>
      </c>
      <c r="AC50" s="57">
        <f t="shared" si="33"/>
        <v>0.27707907269152815</v>
      </c>
      <c r="AD50" s="57">
        <f t="shared" si="34"/>
        <v>1468.270697142974</v>
      </c>
      <c r="AE50" s="58">
        <f t="shared" si="35"/>
        <v>1717.694548452936</v>
      </c>
      <c r="AF50" s="49">
        <f t="shared" si="6"/>
        <v>1717.694548452936</v>
      </c>
      <c r="AH50" s="61">
        <f t="shared" si="7"/>
        <v>971.4522650639454</v>
      </c>
      <c r="AI50" s="62">
        <f t="shared" si="20"/>
        <v>367.4186540152553</v>
      </c>
      <c r="AK50" s="48">
        <f t="shared" si="21"/>
        <v>-31.2</v>
      </c>
      <c r="AL50" s="50">
        <f t="shared" si="8"/>
        <v>-10.970420000000003</v>
      </c>
      <c r="AM50" s="50">
        <f t="shared" si="22"/>
        <v>0</v>
      </c>
      <c r="AN50" s="50">
        <f t="shared" si="9"/>
        <v>0.2875586408202735</v>
      </c>
      <c r="AO50" s="49">
        <f t="shared" si="10"/>
        <v>0.2875586408202735</v>
      </c>
      <c r="AQ50" s="65">
        <f t="shared" si="11"/>
        <v>-200</v>
      </c>
      <c r="AR50" s="50">
        <f t="shared" si="12"/>
        <v>230.7121212121212</v>
      </c>
      <c r="AS50" s="49">
        <f t="shared" si="23"/>
        <v>-203.10658385719884</v>
      </c>
      <c r="AU50" s="67">
        <f t="shared" si="24"/>
        <v>1</v>
      </c>
    </row>
    <row r="51" spans="2:47" ht="12.75">
      <c r="B51" s="48">
        <f t="shared" si="13"/>
        <v>0.8863636363636359</v>
      </c>
      <c r="C51" s="2">
        <v>0</v>
      </c>
      <c r="D51" s="2">
        <v>675</v>
      </c>
      <c r="E51" s="49">
        <f t="shared" si="36"/>
        <v>65</v>
      </c>
      <c r="G51" s="48">
        <v>192.311</v>
      </c>
      <c r="H51" s="50">
        <v>192.311</v>
      </c>
      <c r="I51" s="49">
        <f t="shared" si="0"/>
        <v>19.96212121212124</v>
      </c>
      <c r="K51" s="48">
        <f t="shared" si="14"/>
        <v>4680</v>
      </c>
      <c r="L51" s="50">
        <f t="shared" si="26"/>
        <v>4680000</v>
      </c>
      <c r="M51" s="50">
        <f t="shared" si="1"/>
        <v>675</v>
      </c>
      <c r="N51" s="50">
        <f t="shared" si="2"/>
        <v>0</v>
      </c>
      <c r="O51" s="55">
        <f t="shared" si="3"/>
        <v>675</v>
      </c>
      <c r="P51" s="2"/>
      <c r="Q51" s="48">
        <f t="shared" si="15"/>
        <v>675</v>
      </c>
      <c r="R51" s="50">
        <f t="shared" si="4"/>
        <v>675</v>
      </c>
      <c r="S51" s="50">
        <f t="shared" si="16"/>
        <v>-0.005625416666666667</v>
      </c>
      <c r="T51" s="57">
        <f t="shared" si="17"/>
        <v>6769930.838141899</v>
      </c>
      <c r="U51" s="57">
        <f t="shared" si="5"/>
        <v>-9237607.186271148</v>
      </c>
      <c r="V51" s="57">
        <f t="shared" si="27"/>
        <v>0.9446513951639154</v>
      </c>
      <c r="W51" s="57">
        <f t="shared" si="28"/>
        <v>0.9767264201162459</v>
      </c>
      <c r="X51" s="57">
        <f t="shared" si="29"/>
        <v>0.032075024952330375</v>
      </c>
      <c r="Y51" s="57">
        <f t="shared" si="18"/>
        <v>392.01773997908333</v>
      </c>
      <c r="Z51" s="57">
        <f t="shared" si="30"/>
        <v>2.3616284879097886</v>
      </c>
      <c r="AA51" s="58">
        <f t="shared" si="31"/>
        <v>4.941816050290615</v>
      </c>
      <c r="AB51" s="57">
        <f t="shared" si="32"/>
        <v>0.08018756238082594</v>
      </c>
      <c r="AC51" s="57">
        <f t="shared" si="33"/>
        <v>0.01870282071294914</v>
      </c>
      <c r="AD51" s="57">
        <f t="shared" si="34"/>
        <v>900.190147480554</v>
      </c>
      <c r="AE51" s="58">
        <f t="shared" si="35"/>
        <v>900.190147480554</v>
      </c>
      <c r="AF51" s="49">
        <f t="shared" si="6"/>
        <v>900.190147480554</v>
      </c>
      <c r="AH51" s="61">
        <f t="shared" si="7"/>
        <v>76.9857621122511</v>
      </c>
      <c r="AI51" s="62">
        <f t="shared" si="20"/>
        <v>56.420269287502336</v>
      </c>
      <c r="AK51" s="48">
        <f t="shared" si="21"/>
        <v>-23.1</v>
      </c>
      <c r="AL51" s="50">
        <f t="shared" si="8"/>
        <v>-6.020050000000001</v>
      </c>
      <c r="AM51" s="50">
        <f t="shared" si="22"/>
        <v>0</v>
      </c>
      <c r="AN51" s="50">
        <f t="shared" si="9"/>
        <v>0.504151099513829</v>
      </c>
      <c r="AO51" s="49">
        <f t="shared" si="10"/>
        <v>0.504151099513829</v>
      </c>
      <c r="AQ51" s="65">
        <f t="shared" si="11"/>
        <v>0</v>
      </c>
      <c r="AR51" s="50">
        <f t="shared" si="12"/>
        <v>187.5681818181818</v>
      </c>
      <c r="AS51" s="49">
        <f t="shared" si="23"/>
        <v>-4.17170434827612</v>
      </c>
      <c r="AU51" s="67">
        <f t="shared" si="24"/>
        <v>1</v>
      </c>
    </row>
    <row r="52" spans="2:47" ht="12.75">
      <c r="B52" s="48">
        <f t="shared" si="13"/>
        <v>0.9090909090909086</v>
      </c>
      <c r="C52" s="50">
        <v>-0.1</v>
      </c>
      <c r="D52" s="50">
        <v>-0.1</v>
      </c>
      <c r="E52" s="49">
        <f>E51-1</f>
        <v>64</v>
      </c>
      <c r="G52" s="48">
        <v>323.31</v>
      </c>
      <c r="H52" s="50">
        <v>323.31</v>
      </c>
      <c r="I52" s="49">
        <f t="shared" si="0"/>
        <v>18.63636363636367</v>
      </c>
      <c r="K52" s="48">
        <f t="shared" si="14"/>
        <v>4800</v>
      </c>
      <c r="L52" s="50">
        <f t="shared" si="26"/>
        <v>4800000</v>
      </c>
      <c r="M52" s="50">
        <f t="shared" si="1"/>
        <v>-0.1</v>
      </c>
      <c r="N52" s="50">
        <f t="shared" si="2"/>
        <v>-0.1</v>
      </c>
      <c r="O52" s="55">
        <f t="shared" si="3"/>
        <v>0</v>
      </c>
      <c r="P52" s="2"/>
      <c r="Q52" s="48">
        <f t="shared" si="15"/>
        <v>0</v>
      </c>
      <c r="R52" s="50">
        <f t="shared" si="4"/>
        <v>-0.1</v>
      </c>
      <c r="S52" s="50">
        <f t="shared" si="16"/>
        <v>-0.0030208333333333333</v>
      </c>
      <c r="T52" s="57">
        <f t="shared" si="17"/>
        <v>0</v>
      </c>
      <c r="U52" s="57">
        <f t="shared" si="5"/>
        <v>0</v>
      </c>
      <c r="V52" s="57">
        <f t="shared" si="27"/>
        <v>0.032075024952330375</v>
      </c>
      <c r="W52" s="57">
        <f t="shared" si="28"/>
        <v>0.032075024952330375</v>
      </c>
      <c r="X52" s="57">
        <f t="shared" si="29"/>
        <v>0</v>
      </c>
      <c r="Y52" s="57">
        <f t="shared" si="18"/>
        <v>144.31864451858345</v>
      </c>
      <c r="Z52" s="57">
        <f t="shared" si="30"/>
        <v>0.08018756238082594</v>
      </c>
      <c r="AA52" s="58">
        <f t="shared" si="31"/>
        <v>2.580187562380826</v>
      </c>
      <c r="AB52" s="57">
        <f t="shared" si="32"/>
        <v>0</v>
      </c>
      <c r="AC52" s="57">
        <f t="shared" si="33"/>
        <v>0</v>
      </c>
      <c r="AD52" s="57">
        <f t="shared" si="34"/>
        <v>83.95847520126738</v>
      </c>
      <c r="AE52" s="58">
        <f>IF(AND($R$7=1,$R$6&lt;=N52),AC52*AE53+AD52,0)</f>
        <v>0</v>
      </c>
      <c r="AF52" s="49">
        <f t="shared" si="6"/>
        <v>0</v>
      </c>
      <c r="AH52" s="61">
        <f t="shared" si="7"/>
        <v>0</v>
      </c>
      <c r="AI52" s="62">
        <f t="shared" si="20"/>
        <v>0</v>
      </c>
      <c r="AK52" s="48">
        <f t="shared" si="21"/>
        <v>-14.9988</v>
      </c>
      <c r="AL52" s="50">
        <f t="shared" si="8"/>
        <v>-1.068988000000001</v>
      </c>
      <c r="AM52" s="50">
        <f>IF(AL52&lt;0,0,MAX(-AL52*1.4,-10))</f>
        <v>0</v>
      </c>
      <c r="AN52" s="50">
        <f t="shared" si="9"/>
        <v>0.8839569989016137</v>
      </c>
      <c r="AO52" s="49">
        <f t="shared" si="10"/>
        <v>0.8839569989016137</v>
      </c>
      <c r="AQ52" s="65">
        <f t="shared" si="11"/>
        <v>-0.1</v>
      </c>
      <c r="AR52" s="50">
        <f t="shared" si="12"/>
        <v>-0.1</v>
      </c>
      <c r="AS52" s="49">
        <f t="shared" si="23"/>
        <v>-0.1</v>
      </c>
      <c r="AU52" s="67">
        <f t="shared" si="24"/>
        <v>0</v>
      </c>
    </row>
    <row r="53" spans="2:47" ht="12.75">
      <c r="B53" s="48">
        <f t="shared" si="13"/>
        <v>0.9318181818181813</v>
      </c>
      <c r="C53" s="50">
        <v>-50</v>
      </c>
      <c r="D53" s="50">
        <v>-50</v>
      </c>
      <c r="E53" s="49">
        <f>E52-1</f>
        <v>63</v>
      </c>
      <c r="G53" s="48">
        <v>-29.2944</v>
      </c>
      <c r="H53" s="50">
        <v>-29.2944</v>
      </c>
      <c r="I53" s="49">
        <f t="shared" si="0"/>
        <v>17.31060606060609</v>
      </c>
      <c r="K53" s="48">
        <f>L53/1000</f>
        <v>4920</v>
      </c>
      <c r="L53" s="50">
        <f>L52+$I$4</f>
        <v>4920000</v>
      </c>
      <c r="M53" s="50">
        <f t="shared" si="1"/>
        <v>-50</v>
      </c>
      <c r="N53" s="50">
        <f t="shared" si="2"/>
        <v>-50</v>
      </c>
      <c r="O53" s="55">
        <f t="shared" si="3"/>
        <v>0</v>
      </c>
      <c r="P53" s="2"/>
      <c r="Q53" s="48">
        <f t="shared" si="15"/>
        <v>0</v>
      </c>
      <c r="R53" s="50">
        <f t="shared" si="4"/>
        <v>-50</v>
      </c>
      <c r="S53" s="50">
        <f t="shared" si="16"/>
        <v>-0.00041625</v>
      </c>
      <c r="T53" s="57">
        <f t="shared" si="17"/>
        <v>0</v>
      </c>
      <c r="U53" s="57">
        <f t="shared" si="5"/>
        <v>0</v>
      </c>
      <c r="V53" s="57">
        <f t="shared" si="27"/>
        <v>0</v>
      </c>
      <c r="W53" s="57">
        <f t="shared" si="28"/>
        <v>0</v>
      </c>
      <c r="X53" s="57">
        <f t="shared" si="29"/>
        <v>0</v>
      </c>
      <c r="Y53" s="57">
        <f t="shared" si="18"/>
        <v>184.28365216138764</v>
      </c>
      <c r="Z53" s="57">
        <f t="shared" si="30"/>
        <v>0</v>
      </c>
      <c r="AA53" s="58">
        <f t="shared" si="31"/>
        <v>2.5</v>
      </c>
      <c r="AB53" s="57">
        <f t="shared" si="32"/>
        <v>0</v>
      </c>
      <c r="AC53" s="57">
        <f t="shared" si="33"/>
        <v>0</v>
      </c>
      <c r="AD53" s="57">
        <f t="shared" si="34"/>
        <v>73.71346086455506</v>
      </c>
      <c r="AE53" s="58">
        <f>IF(AND($R$7=1,$R$6&lt;=N53),AC53*AE54+AD53,0)</f>
        <v>0</v>
      </c>
      <c r="AF53" s="49">
        <f t="shared" si="6"/>
        <v>0</v>
      </c>
      <c r="AH53" s="61">
        <f t="shared" si="7"/>
        <v>0</v>
      </c>
      <c r="AI53" s="62">
        <f t="shared" si="20"/>
        <v>0</v>
      </c>
      <c r="AK53" s="48">
        <f t="shared" si="21"/>
        <v>-14.4</v>
      </c>
      <c r="AL53" s="50">
        <f t="shared" si="8"/>
        <v>-0.44431000000000154</v>
      </c>
      <c r="AM53" s="50">
        <f>IF(AL53&lt;0,0,MAX(-AL53*1.4,-10))</f>
        <v>0</v>
      </c>
      <c r="AN53" s="50">
        <f t="shared" si="9"/>
        <v>0.9214182608069382</v>
      </c>
      <c r="AO53" s="49">
        <f t="shared" si="10"/>
        <v>0.9214182608069382</v>
      </c>
      <c r="AQ53" s="65">
        <f t="shared" si="11"/>
        <v>-50</v>
      </c>
      <c r="AR53" s="50">
        <f t="shared" si="12"/>
        <v>-50</v>
      </c>
      <c r="AS53" s="49">
        <f t="shared" si="23"/>
        <v>-50</v>
      </c>
      <c r="AU53" s="67">
        <f t="shared" si="24"/>
        <v>0</v>
      </c>
    </row>
    <row r="54" spans="2:47" ht="12.75">
      <c r="B54" s="48">
        <f t="shared" si="13"/>
        <v>0.954545454545454</v>
      </c>
      <c r="C54" s="50">
        <v>-100</v>
      </c>
      <c r="D54" s="50">
        <v>-100</v>
      </c>
      <c r="E54" s="49">
        <f>E53-1</f>
        <v>62</v>
      </c>
      <c r="G54" s="48">
        <v>-80.286</v>
      </c>
      <c r="H54" s="50">
        <v>-80.286</v>
      </c>
      <c r="I54" s="49">
        <f t="shared" si="0"/>
        <v>15.98484848484852</v>
      </c>
      <c r="K54" s="48">
        <f>L54/1000</f>
        <v>5040</v>
      </c>
      <c r="L54" s="50">
        <f>L53+$I$4</f>
        <v>5040000</v>
      </c>
      <c r="M54" s="50">
        <f t="shared" si="1"/>
        <v>-100</v>
      </c>
      <c r="N54" s="50">
        <f t="shared" si="2"/>
        <v>-100</v>
      </c>
      <c r="O54" s="55">
        <f t="shared" si="3"/>
        <v>0</v>
      </c>
      <c r="P54" s="2"/>
      <c r="Q54" s="48">
        <f t="shared" si="15"/>
        <v>0</v>
      </c>
      <c r="R54" s="50">
        <f t="shared" si="4"/>
        <v>-100</v>
      </c>
      <c r="S54" s="50">
        <f t="shared" si="16"/>
        <v>-0.0004166666666666667</v>
      </c>
      <c r="T54" s="57">
        <f t="shared" si="17"/>
        <v>0</v>
      </c>
      <c r="U54" s="57">
        <f t="shared" si="5"/>
        <v>0</v>
      </c>
      <c r="V54" s="57">
        <f t="shared" si="27"/>
        <v>0</v>
      </c>
      <c r="W54" s="57">
        <f t="shared" si="28"/>
        <v>0</v>
      </c>
      <c r="X54" s="57">
        <f t="shared" si="29"/>
        <v>0</v>
      </c>
      <c r="Y54" s="57">
        <f t="shared" si="18"/>
        <v>141.41259766100194</v>
      </c>
      <c r="Z54" s="57">
        <f t="shared" si="30"/>
        <v>0</v>
      </c>
      <c r="AA54" s="58">
        <f t="shared" si="31"/>
        <v>2.5</v>
      </c>
      <c r="AB54" s="57">
        <f t="shared" si="32"/>
        <v>0</v>
      </c>
      <c r="AC54" s="57">
        <f t="shared" si="33"/>
        <v>0</v>
      </c>
      <c r="AD54" s="57">
        <f t="shared" si="34"/>
        <v>56.56503906440078</v>
      </c>
      <c r="AE54" s="58">
        <f>IF(AND($R$7=1,$R$6&lt;=N54),AC54*AE55+AD54,0)</f>
        <v>0</v>
      </c>
      <c r="AF54" s="49">
        <f t="shared" si="6"/>
        <v>0</v>
      </c>
      <c r="AH54" s="61">
        <f t="shared" si="7"/>
        <v>0</v>
      </c>
      <c r="AI54" s="62">
        <f t="shared" si="20"/>
        <v>0</v>
      </c>
      <c r="AK54" s="48">
        <f t="shared" si="21"/>
        <v>-13.8</v>
      </c>
      <c r="AL54" s="50">
        <f t="shared" si="8"/>
        <v>0.18105999999999867</v>
      </c>
      <c r="AM54" s="50">
        <f>IF(AL54&lt;0,0,MAX(-AL54*1.4,-10))</f>
        <v>-0.2534839999999981</v>
      </c>
      <c r="AN54" s="50">
        <f t="shared" si="9"/>
        <v>0.9605469883050077</v>
      </c>
      <c r="AO54" s="49">
        <f t="shared" si="10"/>
        <v>0.7070629883050097</v>
      </c>
      <c r="AQ54" s="65">
        <f t="shared" si="11"/>
        <v>-100</v>
      </c>
      <c r="AR54" s="50">
        <f t="shared" si="12"/>
        <v>-100</v>
      </c>
      <c r="AS54" s="49">
        <f t="shared" si="23"/>
        <v>-100</v>
      </c>
      <c r="AU54" s="67">
        <f t="shared" si="24"/>
        <v>0</v>
      </c>
    </row>
    <row r="55" spans="2:47" ht="12.75">
      <c r="B55" s="48">
        <f t="shared" si="13"/>
        <v>0.9772727272727267</v>
      </c>
      <c r="C55" s="50">
        <v>-150</v>
      </c>
      <c r="D55" s="50">
        <v>-150</v>
      </c>
      <c r="E55" s="49">
        <f>E54-1</f>
        <v>61</v>
      </c>
      <c r="G55" s="48">
        <v>-277.126</v>
      </c>
      <c r="H55" s="50">
        <v>-277.126</v>
      </c>
      <c r="I55" s="49">
        <f t="shared" si="0"/>
        <v>14.659090909090942</v>
      </c>
      <c r="K55" s="48">
        <f>L55/1000</f>
        <v>5160</v>
      </c>
      <c r="L55" s="50">
        <f>L54+$I$4</f>
        <v>5160000</v>
      </c>
      <c r="M55" s="50">
        <f t="shared" si="1"/>
        <v>-150</v>
      </c>
      <c r="N55" s="50">
        <f t="shared" si="2"/>
        <v>-150</v>
      </c>
      <c r="O55" s="55">
        <f t="shared" si="3"/>
        <v>0</v>
      </c>
      <c r="P55" s="2"/>
      <c r="Q55" s="48">
        <f t="shared" si="15"/>
        <v>0</v>
      </c>
      <c r="R55" s="50">
        <f t="shared" si="4"/>
        <v>-150</v>
      </c>
      <c r="S55" s="50">
        <f t="shared" si="16"/>
        <v>-0.0004166666666666667</v>
      </c>
      <c r="T55" s="57">
        <f t="shared" si="17"/>
        <v>0</v>
      </c>
      <c r="U55" s="57">
        <f t="shared" si="5"/>
        <v>0</v>
      </c>
      <c r="V55" s="57">
        <f t="shared" si="27"/>
        <v>0</v>
      </c>
      <c r="W55" s="57">
        <f t="shared" si="28"/>
        <v>0</v>
      </c>
      <c r="X55" s="57">
        <f t="shared" si="29"/>
        <v>0</v>
      </c>
      <c r="Y55" s="57">
        <f t="shared" si="18"/>
        <v>-25.532930602594117</v>
      </c>
      <c r="Z55" s="57">
        <f t="shared" si="30"/>
        <v>0</v>
      </c>
      <c r="AA55" s="58">
        <f t="shared" si="31"/>
        <v>2.5</v>
      </c>
      <c r="AB55" s="57">
        <f t="shared" si="32"/>
        <v>0</v>
      </c>
      <c r="AC55" s="57">
        <f t="shared" si="33"/>
        <v>0</v>
      </c>
      <c r="AD55" s="57">
        <f t="shared" si="34"/>
        <v>-10.213172241037647</v>
      </c>
      <c r="AE55" s="58">
        <f>IF(AND($R$7=1,$R$6&lt;=N55),AC55*AE56+AD55,0)</f>
        <v>0</v>
      </c>
      <c r="AF55" s="49">
        <f t="shared" si="6"/>
        <v>0</v>
      </c>
      <c r="AH55" s="61">
        <f t="shared" si="7"/>
        <v>0</v>
      </c>
      <c r="AI55" s="62">
        <f t="shared" si="20"/>
        <v>0</v>
      </c>
      <c r="AK55" s="48">
        <f t="shared" si="21"/>
        <v>-13.2</v>
      </c>
      <c r="AL55" s="50">
        <f t="shared" si="8"/>
        <v>0.8064299999999989</v>
      </c>
      <c r="AM55" s="50">
        <f>IF(AL55&lt;0,0,MAX(-AL55*1.4,-10))</f>
        <v>-1.1290019999999983</v>
      </c>
      <c r="AN55" s="50">
        <f t="shared" si="9"/>
        <v>1.0013373469870277</v>
      </c>
      <c r="AO55" s="49">
        <f t="shared" si="10"/>
        <v>-0.12766465301297059</v>
      </c>
      <c r="AQ55" s="65">
        <f t="shared" si="11"/>
        <v>-150</v>
      </c>
      <c r="AR55" s="50">
        <f t="shared" si="12"/>
        <v>-150</v>
      </c>
      <c r="AS55" s="49">
        <f t="shared" si="23"/>
        <v>-150</v>
      </c>
      <c r="AU55" s="67">
        <f t="shared" si="24"/>
        <v>0</v>
      </c>
    </row>
    <row r="56" spans="2:47" ht="12.75">
      <c r="B56" s="51">
        <f t="shared" si="13"/>
        <v>0.9999999999999994</v>
      </c>
      <c r="C56" s="52">
        <v>-200</v>
      </c>
      <c r="D56" s="52">
        <v>-200</v>
      </c>
      <c r="E56" s="53">
        <f>E55-1</f>
        <v>60</v>
      </c>
      <c r="G56" s="51">
        <v>-897.685</v>
      </c>
      <c r="H56" s="52">
        <v>-897.685</v>
      </c>
      <c r="I56" s="53">
        <f t="shared" si="0"/>
        <v>13.333333333333371</v>
      </c>
      <c r="K56" s="51">
        <f>L56/1000</f>
        <v>5280</v>
      </c>
      <c r="L56" s="52">
        <f>L55+$I$4</f>
        <v>5280000</v>
      </c>
      <c r="M56" s="52">
        <f t="shared" si="1"/>
        <v>-200</v>
      </c>
      <c r="N56" s="52">
        <f t="shared" si="2"/>
        <v>-200</v>
      </c>
      <c r="O56" s="56">
        <f t="shared" si="3"/>
        <v>0</v>
      </c>
      <c r="P56" s="2"/>
      <c r="Q56" s="51">
        <f t="shared" si="15"/>
        <v>0</v>
      </c>
      <c r="R56" s="52">
        <f t="shared" si="4"/>
        <v>-200</v>
      </c>
      <c r="S56" s="52">
        <v>0</v>
      </c>
      <c r="T56" s="57">
        <f t="shared" si="17"/>
        <v>0</v>
      </c>
      <c r="U56" s="59">
        <f t="shared" si="5"/>
        <v>0</v>
      </c>
      <c r="V56" s="52"/>
      <c r="W56" s="52"/>
      <c r="X56" s="52"/>
      <c r="Y56" s="52"/>
      <c r="Z56" s="52"/>
      <c r="AA56" s="52"/>
      <c r="AB56" s="52"/>
      <c r="AC56" s="52"/>
      <c r="AD56" s="52"/>
      <c r="AE56" s="60">
        <v>0</v>
      </c>
      <c r="AF56" s="53">
        <f t="shared" si="6"/>
        <v>0</v>
      </c>
      <c r="AH56" s="63">
        <f t="shared" si="7"/>
        <v>0</v>
      </c>
      <c r="AI56" s="64">
        <f t="shared" si="20"/>
        <v>0</v>
      </c>
      <c r="AK56" s="51">
        <f t="shared" si="21"/>
        <v>-12.6</v>
      </c>
      <c r="AL56" s="52">
        <f t="shared" si="8"/>
        <v>1.431799999999999</v>
      </c>
      <c r="AM56" s="52">
        <f>IF(AL56&lt;0,0,MAX(-AL56*1.4,-10))</f>
        <v>-2.0045199999999985</v>
      </c>
      <c r="AN56" s="52">
        <f t="shared" si="9"/>
        <v>1.0438598992854617</v>
      </c>
      <c r="AO56" s="53">
        <f t="shared" si="10"/>
        <v>-0.9606601007145368</v>
      </c>
      <c r="AQ56" s="66">
        <f t="shared" si="11"/>
        <v>-200</v>
      </c>
      <c r="AR56" s="52">
        <f t="shared" si="12"/>
        <v>-200</v>
      </c>
      <c r="AS56" s="53">
        <f>N56</f>
        <v>-200</v>
      </c>
      <c r="AU56" s="68">
        <f t="shared" si="24"/>
        <v>0</v>
      </c>
    </row>
  </sheetData>
  <sheetProtection/>
  <dataValidations count="1">
    <dataValidation type="whole" operator="equal" allowBlank="1" showInputMessage="1" showErrorMessage="1" sqref="A1:IV65536">
      <formula1>-9999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NIPR,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Pattyn</dc:creator>
  <cp:keywords/>
  <dc:description/>
  <cp:lastModifiedBy>Frank Pattyn</cp:lastModifiedBy>
  <cp:lastPrinted>2000-10-20T11:53:51Z</cp:lastPrinted>
  <dcterms:created xsi:type="dcterms:W3CDTF">2000-10-13T11:36:51Z</dcterms:created>
  <dcterms:modified xsi:type="dcterms:W3CDTF">2006-01-20T14:32:40Z</dcterms:modified>
  <cp:category/>
  <cp:version/>
  <cp:contentType/>
  <cp:contentStatus/>
</cp:coreProperties>
</file>